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firstSheet="2" activeTab="16"/>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r:id="rId13"/>
    <sheet name="ТС. Резерв мощности" sheetId="13" state="hidden" r:id="rId14"/>
    <sheet name="ТС. Т-ТН" sheetId="14" r:id="rId15"/>
    <sheet name="ТС. Т-передача ТЭ" sheetId="15" state="hidden" r:id="rId16"/>
    <sheet name="ТС. Т-передача ТН" sheetId="16" state="hidden" r:id="rId17"/>
    <sheet name="ТС. Т-гор.вода" sheetId="17" r:id="rId18"/>
    <sheet name="ТС. Т-подкл" sheetId="18" state="hidden"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state="hidden" r:id="rId41"/>
    <sheet name="Договоры" sheetId="41" state="hidden" r:id="rId42"/>
    <sheet name="Порядок ТП" sheetId="42" state="hidden" r:id="rId43"/>
    <sheet name="Предложение" sheetId="43" state="hidden" r:id="rId44"/>
    <sheet name="Сведения о закупках" sheetId="44" state="hidden" r:id="rId45"/>
    <sheet name="Потребительские характеристики" sheetId="45" state="hidden" r:id="rId46"/>
    <sheet name="ЭД" sheetId="46" state="hidden" r:id="rId47"/>
    <sheet name="Сведения об изменении" sheetId="47" state="hidden"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ТСО'!$90:$92</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Т-гор.вода'!$72:$74</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ТСО'!$93:$96</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Т-гор.вода'!$75:$77</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тарифов'!$72:$96</definedName>
    <definedName name="BLOCK_PT_HEAT">'Перечень тарифов'!$13:$70</definedName>
    <definedName name="BLOCK_PT_HOTVSNA">'Перечень тарифов'!$98:$112</definedName>
    <definedName name="BLOCK_PT_VOTV">'Перечень тарифов'!$114:$128</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тарифов'!$Z$12:$Z$130</definedName>
    <definedName name="DIFFERENTIATION_TARIFF_VD_ID">'Перечень тарифов'!$AB$12:$AB$130</definedName>
    <definedName name="DIFFERENTIATION_TARIFF_VTAR_ID">'Перечень тарифов'!$AA$12:$AA$130</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Предложение!$L$86</definedName>
    <definedName name="OFFER_METHOD">Предложение!$K$24:$K$84</definedName>
    <definedName name="OFFER_METHOD_FLAG">TEHSHEET!$L$6</definedName>
    <definedName name="OFFER_TARIFF_A_1">Предложение!$24:$26</definedName>
    <definedName name="OFFER_TARIFF_A_2">Предложение!$88:$90</definedName>
    <definedName name="OFFER_TARIFF_A_3">Предложение!$150:$152</definedName>
    <definedName name="OFFER_TARIFF_A_4">Предложение!$212:$214</definedName>
    <definedName name="OFFER_TARIFF_A_5">Предложение!$274:$276</definedName>
    <definedName name="OFFER_TARIFF_A_COLDVSNA_1">Предложение!$52:$54</definedName>
    <definedName name="OFFER_TARIFF_A_COLDVSNA_2">Предложение!$116:$118</definedName>
    <definedName name="OFFER_TARIFF_A_COLDVSNA_3">Предложение!$178:$180</definedName>
    <definedName name="OFFER_TARIFF_A_COLDVSNA_4">Предложение!$240:$242</definedName>
    <definedName name="OFFER_TARIFF_A_COLDVSNA_5">Предложение!$302:$304</definedName>
    <definedName name="OFFER_TARIFF_A_HOTVSNA_1">Предложение!$67:$69</definedName>
    <definedName name="OFFER_TARIFF_A_HOTVSNA_2">Предложение!$131:$133</definedName>
    <definedName name="OFFER_TARIFF_A_HOTVSNA_3">Предложение!$193:$195</definedName>
    <definedName name="OFFER_TARIFF_A_HOTVSNA_4">Предложение!$255:$257</definedName>
    <definedName name="OFFER_TARIFF_A_HOTVSNA_5">Предложение!$317:$319</definedName>
    <definedName name="OFFER_TARIFF_A_VOTV_1">Предложение!$76:$78</definedName>
    <definedName name="OFFER_TARIFF_A_VOTV_2">Предложение!$140:$142</definedName>
    <definedName name="OFFER_TARIFF_A_VOTV_3">Предложение!$202:$204</definedName>
    <definedName name="OFFER_TARIFF_A_VOTV_4">Предложение!$264:$266</definedName>
    <definedName name="OFFER_TARIFF_A_VOTV_5">Предложение!$326:$328</definedName>
    <definedName name="OFFER_TARIFF_B_1">Предложение!$27:$33</definedName>
    <definedName name="OFFER_TARIFF_B_2">Предложение!$91:$97</definedName>
    <definedName name="OFFER_TARIFF_B_3">Предложение!$153:$159</definedName>
    <definedName name="OFFER_TARIFF_B_4">Предложение!$215:$221</definedName>
    <definedName name="OFFER_TARIFF_B_5">Предложение!$277:$283</definedName>
    <definedName name="OFFER_TARIFF_B_COLDVSNA_1">Предложение!$55:$57</definedName>
    <definedName name="OFFER_TARIFF_B_COLDVSNA_2">Предложение!$119:$121</definedName>
    <definedName name="OFFER_TARIFF_B_COLDVSNA_3">Предложение!$181:$183</definedName>
    <definedName name="OFFER_TARIFF_B_COLDVSNA_4">Предложение!$243:$245</definedName>
    <definedName name="OFFER_TARIFF_B_COLDVSNA_5">Предложение!$305:$307</definedName>
    <definedName name="OFFER_TARIFF_B_HOTVSNA_1">Предложение!$70:$72</definedName>
    <definedName name="OFFER_TARIFF_B_HOTVSNA_2">Предложение!$134:$136</definedName>
    <definedName name="OFFER_TARIFF_B_HOTVSNA_3">Предложение!$196:$198</definedName>
    <definedName name="OFFER_TARIFF_B_HOTVSNA_4">Предложение!$258:$260</definedName>
    <definedName name="OFFER_TARIFF_B_HOTVSNA_5">Предложение!$320:$322</definedName>
    <definedName name="OFFER_TARIFF_B_VOTV_1">Предложение!$79:$81</definedName>
    <definedName name="OFFER_TARIFF_B_VOTV_2">Предложение!$143:$145</definedName>
    <definedName name="OFFER_TARIFF_B_VOTV_3">Предложение!$205:$207</definedName>
    <definedName name="OFFER_TARIFF_B_VOTV_4">Предложение!$267:$269</definedName>
    <definedName name="OFFER_TARIFF_B_VOTV_5">Предложение!$329:$331</definedName>
    <definedName name="OFFER_TARIFF_C_1">Предложение!$34:$36</definedName>
    <definedName name="OFFER_TARIFF_C_2">Предложение!$98:$100</definedName>
    <definedName name="OFFER_TARIFF_C_3">Предложение!$160:$162</definedName>
    <definedName name="OFFER_TARIFF_C_4">Предложение!$222:$224</definedName>
    <definedName name="OFFER_TARIFF_C_5">Предложение!$284:$286</definedName>
    <definedName name="OFFER_TARIFF_C_COLDVSNA_1">Предложение!$58:$60</definedName>
    <definedName name="OFFER_TARIFF_C_COLDVSNA_2">Предложение!$122:$124</definedName>
    <definedName name="OFFER_TARIFF_C_COLDVSNA_3">Предложение!$184:$186</definedName>
    <definedName name="OFFER_TARIFF_C_COLDVSNA_4">Предложение!$246:$248</definedName>
    <definedName name="OFFER_TARIFF_C_COLDVSNA_5">Предложение!$308:$310</definedName>
    <definedName name="OFFER_TARIFF_C_HOTVSNA_1">Предложение!$73:$75</definedName>
    <definedName name="OFFER_TARIFF_C_HOTVSNA_2">Предложение!$137:$139</definedName>
    <definedName name="OFFER_TARIFF_C_HOTVSNA_3">Предложение!$199:$201</definedName>
    <definedName name="OFFER_TARIFF_C_HOTVSNA_4">Предложение!$261:$263</definedName>
    <definedName name="OFFER_TARIFF_C_HOTVSNA_5">Предложение!$323:$325</definedName>
    <definedName name="OFFER_TARIFF_C_VOTV_1">Предложение!$82:$84</definedName>
    <definedName name="OFFER_TARIFF_C_VOTV_2">Предложение!$146:$148</definedName>
    <definedName name="OFFER_TARIFF_C_VOTV_3">Предложение!$208:$210</definedName>
    <definedName name="OFFER_TARIFF_C_VOTV_4">Предложение!$270:$272</definedName>
    <definedName name="OFFER_TARIFF_C_VOTV_5">Предложение!$332:$334</definedName>
    <definedName name="OFFER_TARIFF_D_1">Предложение!$37:$39</definedName>
    <definedName name="OFFER_TARIFF_D_2">Предложение!$101:$103</definedName>
    <definedName name="OFFER_TARIFF_D_3">Предложение!$163:$165</definedName>
    <definedName name="OFFER_TARIFF_D_4">Предложение!$225:$227</definedName>
    <definedName name="OFFER_TARIFF_D_5">Предложение!$287:$289</definedName>
    <definedName name="OFFER_TARIFF_D_COLDVSNA_1">Предложение!$61:$63</definedName>
    <definedName name="OFFER_TARIFF_D_COLDVSNA_2">Предложение!$125:$127</definedName>
    <definedName name="OFFER_TARIFF_D_COLDVSNA_3">Предложение!$187:$189</definedName>
    <definedName name="OFFER_TARIFF_D_COLDVSNA_4">Предложение!$249:$251</definedName>
    <definedName name="OFFER_TARIFF_D_COLDVSNA_5">Предложение!$311:$313</definedName>
    <definedName name="OFFER_TARIFF_E_COLDVSNA_1">Предложение!$64:$66</definedName>
    <definedName name="OFFER_TARIFF_E_COLDVSNA_2">Предложение!$128:$130</definedName>
    <definedName name="OFFER_TARIFF_E_COLDVSNA_3">Предложение!$190:$192</definedName>
    <definedName name="OFFER_TARIFF_E_COLDVSNA_4">Предложение!$252:$254</definedName>
    <definedName name="OFFER_TARIFF_E_COLDVSNA_5">Предложение!$314:$316</definedName>
    <definedName name="OFFER_TARIFF_E1_1">Предложение!$40:$42</definedName>
    <definedName name="OFFER_TARIFF_E1_2">Предложение!$104:$106</definedName>
    <definedName name="OFFER_TARIFF_E1_3">Предложение!$166:$168</definedName>
    <definedName name="OFFER_TARIFF_E1_4">Предложение!$228:$230</definedName>
    <definedName name="OFFER_TARIFF_E1_5">Предложение!$290:$292</definedName>
    <definedName name="OFFER_TARIFF_E2_1">Предложение!$43:$45</definedName>
    <definedName name="OFFER_TARIFF_E2_2">Предложение!$107:$109</definedName>
    <definedName name="OFFER_TARIFF_E2_3">Предложение!$169:$171</definedName>
    <definedName name="OFFER_TARIFF_E2_4">Предложение!$231:$233</definedName>
    <definedName name="OFFER_TARIFF_E2_5">Предложение!$293:$295</definedName>
    <definedName name="OFFER_TARIFF_F_1">Предложение!$46:$48</definedName>
    <definedName name="OFFER_TARIFF_F_2">Предложение!$110:$112</definedName>
    <definedName name="OFFER_TARIFF_F_3">Предложение!$172:$174</definedName>
    <definedName name="OFFER_TARIFF_F_4">Предложение!$234:$236</definedName>
    <definedName name="OFFER_TARIFF_F_5">Предложение!$296:$298</definedName>
    <definedName name="OFFER_TARIFF_G_1">Предложение!$49:$51</definedName>
    <definedName name="OFFER_TARIFF_G_2">Предложение!$113:$115</definedName>
    <definedName name="OFFER_TARIFF_G_3">Предложение!$175:$177</definedName>
    <definedName name="OFFER_TARIFF_G_4">Предложение!$237:$239</definedName>
    <definedName name="OFFER_TARIFF_G_5">Предложение!$299:$301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Предложение!$G$54</definedName>
    <definedName name="pIns_PT_VTAR_A_COLDVSNA_OFFER_2">Предложение!$G$118</definedName>
    <definedName name="pIns_PT_VTAR_A_COLDVSNA_OFFER_3">Предложение!$G$180</definedName>
    <definedName name="pIns_PT_VTAR_A_COLDVSNA_OFFER_4">Предложение!$G$242</definedName>
    <definedName name="pIns_PT_VTAR_A_COLDVSNA_OFFER_5">Предложение!$G$304</definedName>
    <definedName name="pIns_PT_VTAR_A_COLDVSNA_OFFER5">Предложение!$G$304</definedName>
    <definedName name="pIns_PT_VTAR_A_HOTVSNA">'ГВС. Т-гор.вода'!$T$53</definedName>
    <definedName name="pIns_PT_VTAR_A_HOTVSNA_OFFER_1">Предложение!$G$69</definedName>
    <definedName name="pIns_PT_VTAR_A_HOTVSNA_OFFER_2">Предложение!$G$133</definedName>
    <definedName name="pIns_PT_VTAR_A_HOTVSNA_OFFER_3">Предложение!$G$195</definedName>
    <definedName name="pIns_PT_VTAR_A_HOTVSNA_OFFER_4">Предложение!$G$257</definedName>
    <definedName name="pIns_PT_VTAR_A_HOTVSNA_OFFER_5">Предложение!$G$319</definedName>
    <definedName name="pIns_PT_VTAR_A_OFFER_1">Предложение!$G$26</definedName>
    <definedName name="pIns_PT_VTAR_A_OFFER_2">Предложение!$G$90</definedName>
    <definedName name="pIns_PT_VTAR_A_OFFER_3">Предложение!$G$152</definedName>
    <definedName name="pIns_PT_VTAR_A_OFFER_4">Предложение!$G$214</definedName>
    <definedName name="pIns_PT_VTAR_A_OFFER_5">Предложение!$G$276</definedName>
    <definedName name="pIns_PT_VTAR_A_VOTV">'ВО. Т-во'!$T$53</definedName>
    <definedName name="pIns_PT_VTAR_A_VOTV_OFFER_1">Предложение!$G$78</definedName>
    <definedName name="pIns_PT_VTAR_A_VOTV_OFFER_2">Предложение!$G$142</definedName>
    <definedName name="pIns_PT_VTAR_A_VOTV_OFFER_3">Предложение!$G$204</definedName>
    <definedName name="pIns_PT_VTAR_A_VOTV_OFFER_4">Предложение!$G$266</definedName>
    <definedName name="pIns_PT_VTAR_A_VOTV_OFFER_5">Предложение!$G$328</definedName>
    <definedName name="pIns_PT_VTAR_B">'ТС. Т-ТЭ | ТСО'!$T$89</definedName>
    <definedName name="pIns_PT_VTAR_B_COLDVSNA">'ХВС. Т-тех'!$T$53</definedName>
    <definedName name="pIns_PT_VTAR_B_COLDVSNA_OFFER_1">Предложение!$G$57</definedName>
    <definedName name="pIns_PT_VTAR_B_COLDVSNA_OFFER_2">Предложение!$G$121</definedName>
    <definedName name="pIns_PT_VTAR_B_COLDVSNA_OFFER_3">Предложение!$G$183</definedName>
    <definedName name="pIns_PT_VTAR_B_COLDVSNA_OFFER_4">Предложение!$G$245</definedName>
    <definedName name="pIns_PT_VTAR_B_COLDVSNA_OFFER_5">Предложение!$G$307</definedName>
    <definedName name="pIns_PT_VTAR_B_HOTVSNA">'ГВС. Т-транс'!$T$53</definedName>
    <definedName name="pIns_PT_VTAR_B_HOTVSNA_OFFER_1">Предложение!$G$72</definedName>
    <definedName name="pIns_PT_VTAR_B_HOTVSNA_OFFER_2">Предложение!$G$136</definedName>
    <definedName name="pIns_PT_VTAR_B_HOTVSNA_OFFER_3">Предложение!$G$198</definedName>
    <definedName name="pIns_PT_VTAR_B_HOTVSNA_OFFER_4">Предложение!$G$260</definedName>
    <definedName name="pIns_PT_VTAR_B_HOTVSNA_OFFER_5">Предложение!$G$322</definedName>
    <definedName name="pIns_PT_VTAR_B_OFFER_1">Предложение!$G$33</definedName>
    <definedName name="pIns_PT_VTAR_B_OFFER_2">Предложение!$G$97</definedName>
    <definedName name="pIns_PT_VTAR_B_OFFER_3">Предложение!$G$159</definedName>
    <definedName name="pIns_PT_VTAR_B_OFFER_4">Предложение!$G$221</definedName>
    <definedName name="pIns_PT_VTAR_B_OFFER_5">Предложение!$G$283</definedName>
    <definedName name="pIns_PT_VTAR_B_VOTV">'ВО. Т-транс'!$T$53</definedName>
    <definedName name="pIns_PT_VTAR_B_VOTV_OFFER_1">Предложение!$G$81</definedName>
    <definedName name="pIns_PT_VTAR_B_VOTV_OFFER_2">Предложение!$G$145</definedName>
    <definedName name="pIns_PT_VTAR_B_VOTV_OFFER_3">Предложение!$G$207</definedName>
    <definedName name="pIns_PT_VTAR_B_VOTV_OFFER_4">Предложение!$G$269</definedName>
    <definedName name="pIns_PT_VTAR_B_VOTV_OFFER_5">Предложение!$G$331</definedName>
    <definedName name="pIns_PT_VTAR_C">'ТС. Т-ТН'!$T$57</definedName>
    <definedName name="pIns_PT_VTAR_C_COLDVSNA">'ХВС. Т-транс'!$T$53</definedName>
    <definedName name="pIns_PT_VTAR_C_COLDVSNA_OFFER_1">Предложение!$G$60</definedName>
    <definedName name="pIns_PT_VTAR_C_COLDVSNA_OFFER_2">Предложение!$G$124</definedName>
    <definedName name="pIns_PT_VTAR_C_COLDVSNA_OFFER_3">Предложение!$G$186</definedName>
    <definedName name="pIns_PT_VTAR_C_COLDVSNA_OFFER_4">Предложение!$G$248</definedName>
    <definedName name="pIns_PT_VTAR_C_COLDVSNA_OFFER_5">Предложение!$G$310</definedName>
    <definedName name="pIns_PT_VTAR_C_HOTVSNA">'ГВС. Т-подкл'!$T$63</definedName>
    <definedName name="pIns_PT_VTAR_C_HOTVSNA_OFFER_1">Предложение!$G$75</definedName>
    <definedName name="pIns_PT_VTAR_C_HOTVSNA_OFFER_2">Предложение!$G$139</definedName>
    <definedName name="pIns_PT_VTAR_C_HOTVSNA_OFFER_3">Предложение!$G$201</definedName>
    <definedName name="pIns_PT_VTAR_C_HOTVSNA_OFFER_4">Предложение!$G$263</definedName>
    <definedName name="pIns_PT_VTAR_C_HOTVSNA_OFFER_5">Предложение!$G$325</definedName>
    <definedName name="pIns_PT_VTAR_C_OFFER_1">Предложение!$G$36</definedName>
    <definedName name="pIns_PT_VTAR_C_OFFER_2">Предложение!$G$100</definedName>
    <definedName name="pIns_PT_VTAR_C_OFFER_3">Предложение!$G$162</definedName>
    <definedName name="pIns_PT_VTAR_C_OFFER_4">Предложение!$G$224</definedName>
    <definedName name="pIns_PT_VTAR_C_OFFER_5">Предложение!$G$286</definedName>
    <definedName name="pIns_PT_VTAR_C_VOTV">'ВО. Т-подкл'!$T$63</definedName>
    <definedName name="pIns_PT_VTAR_C_VOTV_OFFER_1">Предложение!$G$84</definedName>
    <definedName name="pIns_PT_VTAR_C_VOTV_OFFER_2">Предложение!$G$148</definedName>
    <definedName name="pIns_PT_VTAR_C_VOTV_OFFER_3">Предложение!$G$210</definedName>
    <definedName name="pIns_PT_VTAR_C_VOTV_OFFER_4">Предложение!$G$272</definedName>
    <definedName name="pIns_PT_VTAR_C_VOTV_OFFER_5">Предложение!$G$334</definedName>
    <definedName name="pIns_PT_VTAR_D">'ТС. Т-гор.вода'!$V$71</definedName>
    <definedName name="pIns_PT_VTAR_D_COLDVSNA">'ХВС. Т-подвоз'!$T$53</definedName>
    <definedName name="pIns_PT_VTAR_D_COLDVSNA_OFFER_1">Предложение!$G$63</definedName>
    <definedName name="pIns_PT_VTAR_D_COLDVSNA_OFFER_2">Предложение!$G$127</definedName>
    <definedName name="pIns_PT_VTAR_D_COLDVSNA_OFFER_3">Предложение!$G$189</definedName>
    <definedName name="pIns_PT_VTAR_D_COLDVSNA_OFFER_4">Предложение!$G$251</definedName>
    <definedName name="pIns_PT_VTAR_D_COLDVSNA_OFFER_5">Предложение!$G$313</definedName>
    <definedName name="pIns_PT_VTAR_D_OFFER_1">Предложение!$G$39</definedName>
    <definedName name="pIns_PT_VTAR_D_OFFER_2">Предложение!$G$103</definedName>
    <definedName name="pIns_PT_VTAR_D_OFFER_3">Предложение!$G$165</definedName>
    <definedName name="pIns_PT_VTAR_D_OFFER_4">Предложение!$G$227</definedName>
    <definedName name="pIns_PT_VTAR_D_OFFER_5">Предложение!$G$289</definedName>
    <definedName name="pIns_PT_VTAR_E_COLDVSNA">'ХВС. Т-подкл'!$T$63</definedName>
    <definedName name="pIns_PT_VTAR_E_COLDVSNA_OFFER_1">Предложение!$G$66</definedName>
    <definedName name="pIns_PT_VTAR_E_COLDVSNA_OFFER_2">Предложение!$G$130</definedName>
    <definedName name="pIns_PT_VTAR_E_COLDVSNA_OFFER_3">Предложение!$G$192</definedName>
    <definedName name="pIns_PT_VTAR_E_COLDVSNA_OFFER_4">Предложение!$G$254</definedName>
    <definedName name="pIns_PT_VTAR_E_COLDVSNA_OFFER_5">Предложение!$G$316</definedName>
    <definedName name="pIns_PT_VTAR_E1">'ТС. Т-передача ТЭ'!$T$57</definedName>
    <definedName name="pIns_PT_VTAR_E1_OFFER_1">Предложение!$G$42</definedName>
    <definedName name="pIns_PT_VTAR_E1_OFFER_2">Предложение!$G$106</definedName>
    <definedName name="pIns_PT_VTAR_E1_OFFER_3">Предложение!$G$168</definedName>
    <definedName name="pIns_PT_VTAR_E1_OFFER_4">Предложение!$G$230</definedName>
    <definedName name="pIns_PT_VTAR_E1_OFFER_5">Предложение!$G$292</definedName>
    <definedName name="pIns_PT_VTAR_E2">'ТС. Т-передача ТН'!$T$57</definedName>
    <definedName name="pIns_PT_VTAR_E2_OFFER_1">Предложение!$G$45</definedName>
    <definedName name="pIns_PT_VTAR_E2_OFFER_2">Предложение!$G$109</definedName>
    <definedName name="pIns_PT_VTAR_E2_OFFER_3">Предложение!$G$171</definedName>
    <definedName name="pIns_PT_VTAR_E2_OFFER_4">Предложение!$G$233</definedName>
    <definedName name="pIns_PT_VTAR_E2_OFFER_5">Предложение!$G$295</definedName>
    <definedName name="pIns_PT_VTAR_F">'ТС. Резерв мощности'!$T$57</definedName>
    <definedName name="pIns_PT_VTAR_F_OFFER_1">Предложение!$G$48</definedName>
    <definedName name="pIns_PT_VTAR_F_OFFER_2">Предложение!$G$112</definedName>
    <definedName name="pIns_PT_VTAR_F_OFFER_3">Предложение!$G$174</definedName>
    <definedName name="pIns_PT_VTAR_F_OFFER_4">Предложение!$G$236</definedName>
    <definedName name="pIns_PT_VTAR_F_OFFER_5">Предложение!$G$298</definedName>
    <definedName name="pIns_PT_VTAR_G">'ТС. Т-подкл'!$T$62</definedName>
    <definedName name="pIns_PT_VTAR_G_OFFER_1">Предложение!$G$51</definedName>
    <definedName name="pIns_PT_VTAR_G_OFFER_2">Предложение!$G$115</definedName>
    <definedName name="pIns_PT_VTAR_G_OFFER_3">Предложение!$G$177</definedName>
    <definedName name="pIns_PT_VTAR_G_OFFER_4">Предложение!$G$239</definedName>
    <definedName name="pIns_PT_VTAR_G_OFFER_5">Предложение!$G$301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ТСО'!$CP$39</definedName>
    <definedName name="pIns_ver_HEAT_TARIFF_C">'ТС. Т-ТН'!$BZ$39</definedName>
    <definedName name="pIns_ver_HEAT_TARIFF_D">'ТС. Т-гор.вода'!$DA$43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ТСО'!$45:$58</definedName>
    <definedName name="pt_cs_3">'ТС. Т-ТН'!$45:$54</definedName>
    <definedName name="pt_cs_4">'ТС. Т-гор.вода'!$51:$68</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тарифов'!$AL$12:$AL$130</definedName>
    <definedName name="PT_DIFFERENTIATION_CS_ID">'Перечень тарифов'!$AF$12:$AF$130</definedName>
    <definedName name="PT_DIFFERENTIATION_IST_TE">'Перечень тарифов'!$AM$12:$AM$130</definedName>
    <definedName name="PT_DIFFERENTIATION_IST_TE_ID">'Перечень тарифов'!$AG$12:$AG$130</definedName>
    <definedName name="PT_DIFFERENTIATION_NTAR">'Перечень тарифов'!$AJ$12:$AJ$130</definedName>
    <definedName name="PT_DIFFERENTIATION_NTAR_ID">'Перечень тарифов'!$AD$12:$AD$130</definedName>
    <definedName name="PT_DIFFERENTIATION_NUM_CS">'Перечень тарифов'!$AP$12:$AP$130</definedName>
    <definedName name="PT_DIFFERENTIATION_NUM_IST_TE">'Перечень тарифов'!$AQ$12:$AQ$130</definedName>
    <definedName name="PT_DIFFERENTIATION_NUM_NTAR">'Перечень тарифов'!$AN$12:$AN$130</definedName>
    <definedName name="PT_DIFFERENTIATION_NUM_TER">'Перечень тарифов'!$AO$12:$AO$130</definedName>
    <definedName name="PT_DIFFERENTIATION_TER">'Перечень тарифов'!$AK$12:$AK$130</definedName>
    <definedName name="PT_DIFFERENTIATION_TER_ID">'Перечень тарифов'!$AE$12:$AE$130</definedName>
    <definedName name="PT_DIFFERENTIATION_VDET">'Перечень тарифов'!$AI$12:$AI$130</definedName>
    <definedName name="PT_DIFFERENTIATION_VTAR">'Перечень тарифов'!$AH$12:$AH$130</definedName>
    <definedName name="PT_DIFFERENTIATION_VTAR_ID">'Перечень тарифов'!$AC$12:$AC$130</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ТСО'!$46:$57</definedName>
    <definedName name="pt_ist_te_3">'ТС. Т-ТН'!$46:$53</definedName>
    <definedName name="pt_ist_te_4">'ТС. Т-гор.вода'!$52:$67</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ТСО'!$43:$60</definedName>
    <definedName name="pt_ntar_3">'ТС. Т-ТН'!$43:$56</definedName>
    <definedName name="pt_ntar_4">'ТС. Т-гор.вода'!$49:$70</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ТСО'!$44:$59</definedName>
    <definedName name="pt_ter_3">'ТС. Т-ТН'!$44:$55</definedName>
    <definedName name="pt_ter_4">'ТС. Т-гор.вода'!$50:$69</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REESTR_IP!$A$2:$D$20</definedName>
    <definedName name="VD_LIST">REESTR_VED!$A$2:$B$11</definedName>
    <definedName name="VD_ID_LIST">REESTR_VED!$A$2:$A$11</definedName>
    <definedName name="VD_NAME_LIST">REESTR_VED!$B$2:$B$11</definedName>
    <definedName name="et_B_FHD20_1">et_union_hor!$119:$127</definedName>
    <definedName name="pt_ntar_26">'ТС. Т-ТЭ | ТСО'!$61:$74</definedName>
    <definedName name="pt_ter_30">'ТС. Т-ТЭ | ТСО'!$62:$73</definedName>
    <definedName name="pt_cs_30">'ТС. Т-ТЭ | ТСО'!$63:$72</definedName>
    <definedName name="pt_ist_te_30">'ТС. Т-ТЭ | ТСО'!$64:$71</definedName>
    <definedName name="pt_ntar_27">'ТС. Т-ТЭ | ТСО'!$75:$88</definedName>
    <definedName name="pt_ter_31">'ТС. Т-ТЭ | ТСО'!$76:$87</definedName>
    <definedName name="pt_cs_31">'ТС. Т-ТЭ | ТСО'!$77:$86</definedName>
    <definedName name="pt_ist_te_31">'ТС. Т-ТЭ | ТСО'!$78:$85</definedName>
    <definedName name="DESCRIPTION_TERRITORY">REESTR_DS!$B$2</definedName>
    <definedName name="_xlnm._FilterDatabase" localSheetId="52">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<sst xmlns="http://schemas.openxmlformats.org/spreadsheetml/2006/main" count="13012" uniqueCount="3373">
  <si>
    <t xml:space="preserve"> (требуется обновление)</t>
  </si>
  <si>
    <t>Код отчёта: PP110.OPEN.INFO.PRICE.HEAT.EIAS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</si>
  <si>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</si>
  <si>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</si>
  <si>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</si>
  <si>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</si>
  <si>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</si>
  <si>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</si>
  <si>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</si>
  <si>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</si>
  <si>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</si>
  <si>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</si>
  <si>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</si>
  <si>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</si>
  <si>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г.Санкт-Петербург</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</si>
  <si>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</si>
  <si>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</si>
  <si>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</si>
  <si>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</si>
  <si>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</si>
  <si>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</si>
  <si>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</si>
  <si>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</si>
  <si>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</si>
  <si>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</si>
  <si>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</si>
  <si>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</si>
  <si>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</si>
  <si>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</si>
  <si>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</si>
  <si>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</si>
  <si>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</si>
  <si>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</si>
  <si>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</si>
  <si>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</si>
  <si>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</si>
  <si>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</si>
  <si>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237-р</t>
  </si>
  <si>
    <t>Наименование органа регулирования, принявшего решение об утверждении тарифов</t>
  </si>
  <si>
    <t>Комитет по тарифам Санкт-Петербурга</t>
  </si>
  <si>
    <t>Источник официального опубликования решения</t>
  </si>
  <si>
    <t>https://www.gov.spb.ru/gov/otrasl/energ_kom/inform_/standarty-raskrytiya-informacii-komitetom/teplo/</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</si>
  <si>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</si>
  <si>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</si>
  <si>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</si>
  <si>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ООО "ПРОМ ИМПУЛЬС"</t>
  </si>
  <si>
    <t>Наименование (описание) обособленного подразделения</t>
  </si>
  <si>
    <t>ИНН</t>
  </si>
  <si>
    <t>7806520632</t>
  </si>
  <si>
    <t>КПП</t>
  </si>
  <si>
    <t>781001001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</si>
  <si>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</si>
  <si>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</si>
  <si>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</si>
  <si>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</si>
  <si>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</si>
  <si>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</si>
  <si>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</si>
  <si>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</si>
  <si>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</si>
  <si>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</si>
  <si>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</si>
  <si>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</si>
  <si>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</si>
  <si>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</si>
  <si>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</si>
  <si>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</si>
  <si>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</si>
  <si>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</si>
  <si>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</si>
  <si>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196084, Санкт-Петербург г, ул. Рощинская, дом № 5, литер И офис 1</t>
  </si>
  <si>
    <t>Фамилия, имя, отчество руководителя</t>
  </si>
  <si>
    <t>Тихомиров Владимир Валерьевич</t>
  </si>
  <si>
    <t>Ответственный за заполнение формы</t>
  </si>
  <si>
    <t>Фамилия, имя, отчество</t>
  </si>
  <si>
    <t>Киселёва Вера Николаевна</t>
  </si>
  <si>
    <t>Должность</t>
  </si>
  <si>
    <t>Специалист по работе с тарифом</t>
  </si>
  <si>
    <t>Контактный телефон</t>
  </si>
  <si>
    <t>(812) 603-73-77, 911 842-87-47</t>
  </si>
  <si>
    <t>E-mail</t>
  </si>
  <si>
    <t>v.kiseleva@promimpuls.ru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</si>
  <si>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</si>
  <si>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</si>
  <si>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</si>
  <si>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</si>
  <si>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</si>
  <si>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</si>
  <si>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</si>
  <si>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</si>
  <si>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</si>
  <si>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</si>
  <si>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</si>
  <si>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</si>
  <si>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</si>
  <si>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</si>
  <si>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</si>
  <si>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</si>
  <si>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t>
  </si>
  <si>
    <t>город Санкт-Петербург</t>
  </si>
  <si>
    <t>40000000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</si>
  <si>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</si>
  <si>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</si>
  <si>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</si>
  <si>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</si>
  <si>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</si>
  <si>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</si>
  <si>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</si>
  <si>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</si>
  <si>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</si>
  <si>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</si>
  <si>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</si>
  <si>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</si>
  <si>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</si>
  <si>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</si>
  <si>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</si>
  <si>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</si>
  <si>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</si>
  <si>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</si>
  <si>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</si>
  <si>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</si>
  <si>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</si>
  <si>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</si>
  <si>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</si>
  <si>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</si>
  <si>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</si>
  <si>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</si>
  <si>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</si>
  <si>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</si>
  <si>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</si>
  <si>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</si>
  <si>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</si>
  <si>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</si>
  <si>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</si>
  <si>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</si>
  <si>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</si>
  <si>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</si>
  <si>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</si>
  <si>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</si>
  <si>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</si>
  <si>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</si>
  <si>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</si>
  <si>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</si>
  <si>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</si>
  <si>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</si>
  <si>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</si>
  <si>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</si>
  <si>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</si>
  <si>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</si>
  <si>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</si>
  <si>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</si>
  <si>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</si>
  <si>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</si>
  <si>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</si>
  <si>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</si>
  <si>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</si>
  <si>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</si>
  <si>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</si>
  <si>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</si>
  <si>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тепловую энергию, поставляемую обществом с ограниченной ответственностью "ПРОМ ИМПУЛЬС" потребителям, расположенным на территории Санкт-Петербурга</t>
  </si>
  <si>
    <t>4190064; 4190068; 4190070</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</si>
  <si>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</si>
  <si>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</si>
  <si>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</si>
  <si>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</si>
  <si>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</si>
  <si>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</si>
  <si>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</si>
  <si>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Добавить территорию для дифференциации</t>
  </si>
  <si>
    <t>×</t>
  </si>
  <si>
    <t>Тарифы на тепловую энергию, поставляемую обществом с ограниченной ответственностью "ПРОМ ИМПУЛЬС" на коллекторах источников тепловой энергии потребителям, расположенным на территории Санкт-Петербурга</t>
  </si>
  <si>
    <t>pt_ntar_26</t>
  </si>
  <si>
    <t>pt_ter_30</t>
  </si>
  <si>
    <t>pt_cs_30</t>
  </si>
  <si>
    <t>pt_ist_te_30</t>
  </si>
  <si>
    <t>Льготный тариф на тепловую энергию</t>
  </si>
  <si>
    <t>pt_ntar_27</t>
  </si>
  <si>
    <t>pt_ter_31</t>
  </si>
  <si>
    <t>pt_cs_31</t>
  </si>
  <si>
    <t>pt_ist_te_31</t>
  </si>
  <si>
    <t>Добавить наименование тарифа</t>
  </si>
  <si>
    <t>Тарифы на теплоноситель, поставляемый теплоснабжающими организациями потребителям, другим теплоснабжающим организациям</t>
  </si>
  <si>
    <t>Тариф на теплоноситель, поставляемый обществом с ограниченной ответственностью "ПРОМ ИМПУЛЬС" потребителям, расположенным на территории Санкт-Петербурга</t>
  </si>
  <si>
    <t>4190067; 4190069; 4190071</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</si>
  <si>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</si>
  <si>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</si>
  <si>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</si>
  <si>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</si>
  <si>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</si>
  <si>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</si>
  <si>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Тариф на горячую воду (горячее водоснабжение), поставляемую обществом с ограниченной ответственностью "ПРОМ ИМПУЛЬС" в открытых системах теплоснабжения потребителям, расположенным на территории Санкт-Петербурга</t>
  </si>
  <si>
    <t>4190064; 4190067; 4190068; 4190069; 4190070; 4190071</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</si>
  <si>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</si>
  <si>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</si>
  <si>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</si>
  <si>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</si>
  <si>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</si>
  <si>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</si>
  <si>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</si>
  <si>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</si>
  <si>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</si>
  <si>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</si>
  <si>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</si>
  <si>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</si>
  <si>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</si>
  <si>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</si>
  <si>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</si>
  <si>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</si>
  <si>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</si>
  <si>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</si>
  <si>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</si>
  <si>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</si>
  <si>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</si>
  <si>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</si>
  <si>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</si>
  <si>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</si>
  <si>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</si>
  <si>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</si>
  <si>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</si>
  <si>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</si>
  <si>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</si>
  <si>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</si>
  <si>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</si>
  <si>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</si>
  <si>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</si>
  <si>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</si>
  <si>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</si>
  <si>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</si>
  <si>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</si>
  <si>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</si>
  <si>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</si>
  <si>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</si>
  <si>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</si>
  <si>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</si>
  <si>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</si>
  <si>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</si>
  <si>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</si>
  <si>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</si>
  <si>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</si>
  <si>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</si>
  <si>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</si>
  <si>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</si>
  <si>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</si>
  <si>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</si>
  <si>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</si>
  <si>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</si>
  <si>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</si>
  <si>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</si>
  <si>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</si>
  <si>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</si>
  <si>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</si>
  <si>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</si>
  <si>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</si>
  <si>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</si>
  <si>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</si>
  <si>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</si>
  <si>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</si>
  <si>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</si>
  <si>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</si>
  <si>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</si>
  <si>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</si>
  <si>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</si>
  <si>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</si>
  <si>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</si>
  <si>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</si>
  <si>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</si>
  <si>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</si>
  <si>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</si>
  <si>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</si>
  <si>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</si>
  <si>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</si>
  <si>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</si>
  <si>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</si>
  <si>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</si>
  <si>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</si>
  <si>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</si>
  <si>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</si>
  <si>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</si>
  <si>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</si>
  <si>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</si>
  <si>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</si>
  <si>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</si>
  <si>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</si>
  <si>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</si>
  <si>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</si>
  <si>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</si>
  <si>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</si>
  <si>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</si>
  <si>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</si>
  <si>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</si>
  <si>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</si>
  <si>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</si>
  <si>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</si>
  <si>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</si>
  <si>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</si>
  <si>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</si>
  <si>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</si>
  <si>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</si>
  <si>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</si>
  <si>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</si>
  <si>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</si>
  <si>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</si>
  <si>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</si>
  <si>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</si>
  <si>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</si>
  <si>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</si>
  <si>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</si>
  <si>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</si>
  <si>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</si>
  <si>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</si>
  <si>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</si>
  <si>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</si>
  <si>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</si>
  <si>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</si>
  <si>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</si>
  <si>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</si>
  <si>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</si>
  <si>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</si>
  <si>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</si>
  <si>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</si>
  <si>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</si>
  <si>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</si>
  <si>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</si>
  <si>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</si>
  <si>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</si>
  <si>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</si>
  <si>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</si>
  <si>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</si>
  <si>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</si>
  <si>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</si>
  <si>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</si>
  <si>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</si>
  <si>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</si>
  <si>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</si>
  <si>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</si>
  <si>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</si>
  <si>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</si>
  <si>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</si>
  <si>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</si>
  <si>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</si>
  <si>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</si>
  <si>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</si>
  <si>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</si>
  <si>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</si>
  <si>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</si>
  <si>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</si>
  <si>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</si>
  <si>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</si>
  <si>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</si>
  <si>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</si>
  <si>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</si>
  <si>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</si>
  <si>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</si>
  <si>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</si>
  <si>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</si>
  <si>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</si>
  <si>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</si>
  <si>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</si>
  <si>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</si>
  <si>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</si>
  <si>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</si>
  <si>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</si>
  <si>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</si>
  <si>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</si>
  <si>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</si>
  <si>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</si>
  <si>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</si>
  <si>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</si>
  <si>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</si>
  <si>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</si>
  <si>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</si>
  <si>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</si>
  <si>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</si>
  <si>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</si>
  <si>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</si>
  <si>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</si>
  <si>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</si>
  <si>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</si>
  <si>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</si>
  <si>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</si>
  <si>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</si>
  <si>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</si>
  <si>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</si>
  <si>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</si>
  <si>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</si>
  <si>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</si>
  <si>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</si>
  <si>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</si>
  <si>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</si>
  <si>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</si>
  <si>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</si>
  <si>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</si>
  <si>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</si>
  <si>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</si>
  <si>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</si>
  <si>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</si>
  <si>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</si>
  <si>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</si>
  <si>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</si>
  <si>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</si>
  <si>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</si>
  <si>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</si>
  <si>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</si>
  <si>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</si>
  <si>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</si>
  <si>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</si>
  <si>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</si>
  <si>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</si>
  <si>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</si>
  <si>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</si>
  <si>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</si>
  <si>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</si>
  <si>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</si>
  <si>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</si>
  <si>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</si>
  <si>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</si>
  <si>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</si>
  <si>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</si>
  <si>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</si>
  <si>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</si>
  <si>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</si>
  <si>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</si>
  <si>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</si>
  <si>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</si>
  <si>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</si>
  <si>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</si>
  <si>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</si>
  <si>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</si>
  <si>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</si>
  <si>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</si>
  <si>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</si>
  <si>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</si>
  <si>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</si>
  <si>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</si>
  <si>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</si>
  <si>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</si>
  <si>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</si>
  <si>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</si>
  <si>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</si>
  <si>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</si>
  <si>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</si>
  <si>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</si>
  <si>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</si>
  <si>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</si>
  <si>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</si>
  <si>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</si>
  <si>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</si>
  <si>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</si>
  <si>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</si>
  <si>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</si>
  <si>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</si>
  <si>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</si>
  <si>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</si>
  <si>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без дифференциации</t>
  </si>
  <si>
    <t>прочие</t>
  </si>
  <si>
    <t>вода</t>
  </si>
  <si>
    <t>население</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</si>
  <si>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</si>
  <si>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</si>
  <si>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</si>
  <si>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</si>
  <si>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</si>
  <si>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</si>
  <si>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</si>
  <si>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</si>
  <si>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</si>
  <si>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</si>
  <si>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</si>
  <si>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</si>
  <si>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</si>
  <si>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</si>
  <si>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</si>
  <si>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</si>
  <si>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</si>
  <si>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</si>
  <si>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</si>
  <si>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</si>
  <si>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</si>
  <si>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</si>
  <si>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</si>
  <si>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</si>
  <si>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</si>
  <si>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</si>
  <si>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</si>
  <si>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</si>
  <si>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</si>
  <si>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</si>
  <si>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</si>
  <si>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</si>
  <si>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</si>
  <si>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</si>
  <si>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</si>
  <si>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</si>
  <si>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</si>
  <si>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</si>
  <si>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</si>
  <si>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</si>
  <si>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</si>
  <si>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</si>
  <si>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</si>
  <si>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</si>
  <si>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</si>
  <si>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</si>
  <si>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</si>
  <si>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</si>
  <si>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</si>
  <si>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</si>
  <si>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</si>
  <si>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</si>
  <si>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</si>
  <si>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</si>
  <si>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</si>
  <si>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</si>
  <si>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</si>
  <si>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</si>
  <si>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</si>
  <si>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</si>
  <si>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</si>
  <si>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</si>
  <si>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</si>
  <si>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</si>
  <si>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</si>
  <si>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</si>
  <si>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</si>
  <si>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</si>
  <si>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</si>
  <si>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</si>
  <si>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</si>
  <si>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</si>
  <si>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</si>
  <si>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</si>
  <si>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</si>
  <si>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</si>
  <si>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</si>
  <si>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</si>
  <si>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</si>
  <si>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</si>
  <si>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</si>
  <si>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</si>
  <si>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</si>
  <si>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</si>
  <si>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</si>
  <si>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</si>
  <si>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</si>
  <si>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</si>
  <si>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</si>
  <si>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</si>
  <si>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</si>
  <si>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</si>
  <si>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</si>
  <si>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</si>
  <si>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</si>
  <si>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</si>
  <si>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</si>
  <si>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</si>
  <si>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</si>
  <si>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</si>
  <si>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</si>
  <si>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</si>
  <si>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</si>
  <si>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</si>
  <si>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</si>
  <si>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</si>
  <si>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</si>
  <si>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</si>
  <si>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</si>
  <si>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</si>
  <si>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</si>
  <si>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</si>
  <si>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</si>
  <si>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</si>
  <si>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</si>
  <si>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</si>
  <si>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</si>
  <si>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</si>
  <si>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</si>
  <si>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</si>
  <si>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</si>
  <si>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</si>
  <si>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</si>
  <si>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</si>
  <si>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</si>
  <si>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</si>
  <si>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</si>
  <si>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</si>
  <si>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</si>
  <si>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</si>
  <si>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</si>
  <si>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</si>
  <si>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</si>
  <si>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</si>
  <si>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</si>
  <si>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</si>
  <si>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</si>
  <si>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</si>
  <si>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</si>
  <si>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</si>
  <si>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</si>
  <si>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</si>
  <si>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</si>
  <si>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</si>
  <si>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</si>
  <si>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</si>
  <si>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</si>
  <si>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</si>
  <si>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</si>
  <si>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</si>
  <si>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</si>
  <si>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</si>
  <si>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</si>
  <si>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</si>
  <si>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</si>
  <si>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</si>
  <si>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</si>
  <si>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</si>
  <si>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</si>
  <si>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</si>
  <si>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</si>
  <si>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</si>
  <si>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</si>
  <si>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</si>
  <si>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</si>
  <si>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</si>
  <si>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</si>
  <si>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</si>
  <si>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</si>
  <si>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</si>
  <si>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</si>
  <si>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</si>
  <si>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</si>
  <si>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</si>
  <si>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</si>
  <si>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</si>
  <si>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</si>
  <si>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</si>
  <si>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</si>
  <si>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</si>
  <si>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</si>
  <si>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</si>
  <si>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</si>
  <si>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</si>
  <si>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</si>
  <si>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</si>
  <si>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</si>
  <si>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</si>
  <si>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</si>
  <si>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</si>
  <si>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</si>
  <si>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</si>
  <si>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</si>
  <si>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</si>
  <si>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</si>
  <si>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</si>
  <si>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</si>
  <si>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</si>
  <si>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</si>
  <si>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</si>
  <si>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</si>
  <si>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</si>
  <si>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</si>
  <si>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</si>
  <si>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</si>
  <si>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</si>
  <si>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</si>
  <si>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</si>
  <si>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</si>
  <si>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</si>
  <si>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</si>
  <si>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</si>
  <si>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</si>
  <si>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</si>
  <si>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</si>
  <si>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</si>
  <si>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</si>
  <si>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</si>
  <si>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</si>
  <si>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</si>
  <si>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</si>
  <si>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</si>
  <si>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</si>
  <si>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</si>
  <si>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</si>
  <si>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</si>
  <si>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</si>
  <si>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</si>
  <si>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</si>
  <si>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</si>
  <si>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</si>
  <si>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</si>
  <si>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</si>
  <si>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</si>
  <si>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</si>
  <si>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</si>
  <si>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</si>
  <si>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</si>
  <si>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</si>
  <si>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</si>
  <si>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</si>
  <si>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</si>
  <si>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</si>
  <si>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</si>
  <si>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</si>
  <si>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</si>
  <si>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</si>
  <si>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</si>
  <si>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</si>
  <si>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</si>
  <si>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</si>
  <si>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</si>
  <si>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</si>
  <si>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</si>
  <si>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</si>
  <si>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</si>
  <si>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</si>
  <si>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</si>
  <si>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</si>
  <si>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</si>
  <si>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</si>
  <si>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</si>
  <si>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</si>
  <si>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</si>
  <si>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</si>
  <si>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</si>
  <si>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</si>
  <si>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</si>
  <si>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</si>
  <si>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</si>
  <si>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</si>
  <si>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</si>
  <si>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</si>
  <si>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</si>
  <si>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</si>
  <si>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</si>
  <si>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</si>
  <si>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</si>
  <si>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</si>
  <si>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</si>
  <si>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</si>
  <si>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</si>
  <si>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</si>
  <si>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</si>
  <si>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</si>
  <si>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</si>
  <si>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</si>
  <si>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</si>
  <si>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</si>
  <si>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</si>
  <si>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</si>
  <si>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</si>
  <si>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</si>
  <si>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</si>
  <si>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</si>
  <si>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</si>
  <si>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</si>
  <si>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</si>
  <si>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</si>
  <si>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</si>
  <si>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</si>
  <si>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</si>
  <si>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</si>
  <si>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</si>
  <si>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</si>
  <si>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</si>
  <si>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</si>
  <si>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</si>
  <si>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</si>
  <si>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</si>
  <si>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</si>
  <si>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</si>
  <si>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</si>
  <si>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</si>
  <si>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</si>
  <si>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</si>
  <si>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</si>
  <si>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</si>
  <si>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</si>
  <si>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</si>
  <si>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</si>
  <si>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</si>
  <si>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</si>
  <si>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</si>
  <si>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</si>
  <si>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</si>
  <si>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</si>
  <si>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</si>
  <si>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</si>
  <si>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</si>
  <si>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</si>
  <si>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</si>
  <si>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</si>
  <si>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</si>
  <si>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</si>
  <si>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</si>
  <si>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</si>
  <si>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</si>
  <si>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</si>
  <si>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</si>
  <si>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</si>
  <si>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</si>
  <si>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</si>
  <si>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</si>
  <si>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</si>
  <si>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</si>
  <si>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</si>
  <si>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</si>
  <si>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</si>
  <si>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</si>
  <si>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</si>
  <si>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</si>
  <si>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</si>
  <si>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</si>
  <si>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</si>
  <si>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</si>
  <si>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</si>
  <si>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</si>
  <si>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</si>
  <si>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</si>
  <si>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</si>
  <si>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</si>
  <si>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</si>
  <si>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</si>
  <si>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</si>
  <si>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</si>
  <si>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</si>
  <si>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</si>
  <si>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</si>
  <si>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</si>
  <si>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</si>
  <si>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</si>
  <si>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</si>
  <si>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</si>
  <si>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</si>
  <si>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</si>
  <si>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</si>
  <si>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</si>
  <si>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</si>
  <si>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</si>
  <si>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</si>
  <si>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</si>
  <si>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</si>
  <si>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</si>
  <si>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</si>
  <si>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</si>
  <si>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</si>
  <si>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</si>
  <si>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</si>
  <si>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</si>
  <si>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</si>
  <si>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</si>
  <si>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</si>
  <si>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</si>
  <si>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</si>
  <si>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</si>
  <si>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</si>
  <si>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</si>
  <si>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</si>
  <si>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</si>
  <si>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</si>
  <si>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</si>
  <si>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</si>
  <si>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</si>
  <si>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</si>
  <si>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</si>
  <si>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</si>
  <si>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</si>
  <si>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</si>
  <si>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</si>
  <si>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</si>
  <si>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</si>
  <si>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</si>
  <si>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</si>
  <si>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</si>
  <si>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</si>
  <si>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</si>
  <si>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</si>
  <si>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</si>
  <si>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</si>
  <si>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</si>
  <si>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</si>
  <si>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</si>
  <si>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</si>
  <si>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</si>
  <si>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</si>
  <si>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</si>
  <si>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</si>
  <si>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</si>
  <si>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</si>
  <si>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</si>
  <si>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</si>
  <si>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</si>
  <si>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</si>
  <si>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</si>
  <si>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</si>
  <si>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</si>
  <si>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</si>
  <si>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</si>
  <si>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</si>
  <si>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</si>
  <si>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</si>
  <si>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</si>
  <si>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</si>
  <si>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</si>
  <si>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</si>
  <si>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</si>
  <si>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</si>
  <si>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</si>
  <si>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</si>
  <si>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</si>
  <si>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</si>
  <si>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</si>
  <si>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</si>
  <si>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</si>
  <si>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</si>
  <si>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</si>
  <si>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</si>
  <si>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</si>
  <si>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</si>
  <si>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</si>
  <si>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</si>
  <si>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</si>
  <si>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</si>
  <si>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</si>
  <si>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</si>
  <si>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</si>
  <si>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</si>
  <si>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</si>
  <si>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</si>
  <si>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</si>
  <si>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</si>
  <si>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</si>
  <si>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</si>
  <si>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</si>
  <si>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</si>
  <si>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</si>
  <si>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</si>
  <si>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</si>
  <si>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</si>
  <si>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</si>
  <si>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</si>
  <si>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</si>
  <si>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</si>
  <si>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</si>
  <si>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</si>
  <si>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</si>
  <si>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</si>
  <si>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</si>
  <si>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</si>
  <si>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</si>
  <si>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</si>
  <si>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</si>
  <si>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</si>
  <si>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</si>
  <si>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</si>
  <si>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</si>
  <si>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</si>
  <si>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</si>
  <si>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</si>
  <si>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</si>
  <si>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</si>
  <si>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</si>
  <si>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</si>
  <si>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</si>
  <si>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</si>
  <si>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</si>
  <si>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</si>
  <si>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</si>
  <si>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</si>
  <si>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</si>
  <si>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</si>
  <si>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</si>
  <si>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</si>
  <si>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</si>
  <si>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</si>
  <si>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</si>
  <si>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</si>
  <si>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</si>
  <si>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</si>
  <si>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</si>
  <si>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</si>
  <si>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</si>
  <si>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</si>
  <si>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</si>
  <si>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</si>
  <si>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</si>
  <si>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</si>
  <si>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</si>
  <si>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</si>
  <si>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</si>
  <si>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</si>
  <si>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</si>
  <si>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</si>
  <si>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</si>
  <si>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</si>
  <si>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</si>
  <si>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</si>
  <si>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</si>
  <si>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</si>
  <si>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</si>
  <si>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</si>
  <si>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</si>
  <si>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</si>
  <si>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</si>
  <si>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</si>
  <si>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</si>
  <si>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</si>
  <si>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</si>
  <si>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</si>
  <si>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</si>
  <si>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</si>
  <si>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</si>
  <si>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</si>
  <si>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</si>
  <si>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</si>
  <si>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</si>
  <si>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</si>
  <si>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</si>
  <si>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</si>
  <si>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</si>
  <si>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</si>
  <si>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</si>
  <si>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</si>
  <si>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</si>
  <si>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</si>
  <si>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</si>
  <si>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</si>
  <si>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</si>
  <si>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</si>
  <si>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</si>
  <si>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</si>
  <si>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</si>
  <si>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</si>
  <si>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</si>
  <si>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</si>
  <si>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</si>
  <si>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</si>
  <si>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</si>
  <si>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</si>
  <si>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</si>
  <si>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</si>
  <si>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</si>
  <si>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</si>
  <si>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</si>
  <si>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</si>
  <si>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</si>
  <si>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</si>
  <si>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</si>
  <si>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</si>
  <si>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</si>
  <si>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</si>
  <si>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</si>
  <si>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</si>
  <si>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</si>
  <si>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</si>
  <si>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</si>
  <si>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</si>
  <si>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</si>
  <si>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</si>
  <si>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</si>
  <si>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</si>
  <si>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</si>
  <si>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</si>
  <si>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</si>
  <si>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</si>
  <si>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</si>
  <si>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</si>
  <si>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</si>
  <si>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</si>
  <si>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</si>
  <si>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</si>
  <si>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</si>
  <si>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</si>
  <si>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</si>
  <si>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</si>
  <si>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</si>
  <si>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</si>
  <si>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</si>
  <si>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</si>
  <si>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</si>
  <si>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</si>
  <si>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</si>
  <si>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</si>
  <si>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</si>
  <si>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</si>
  <si>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</si>
  <si>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</si>
  <si>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</si>
  <si>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</si>
  <si>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</si>
  <si>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</si>
  <si>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</si>
  <si>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</si>
  <si>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</si>
  <si>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</si>
  <si>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</si>
  <si>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</si>
  <si>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</si>
  <si>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</si>
  <si>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</si>
  <si>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</si>
  <si>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</si>
  <si>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</si>
  <si>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</si>
  <si>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</si>
  <si>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</si>
  <si>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</si>
  <si>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</si>
  <si>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</si>
  <si>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</si>
  <si>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</si>
  <si>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</si>
  <si>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</si>
  <si>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</si>
  <si>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</si>
  <si>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</si>
  <si>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</si>
  <si>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</si>
  <si>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</si>
  <si>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</si>
  <si>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</si>
  <si>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</si>
  <si>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</si>
  <si>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</si>
  <si>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</si>
  <si>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</si>
  <si>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</si>
  <si>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</si>
  <si>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</si>
  <si>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</si>
  <si>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</si>
  <si>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</si>
  <si>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</si>
  <si>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</si>
  <si>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</si>
  <si>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</si>
  <si>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</si>
  <si>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</si>
  <si>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</si>
  <si>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</si>
  <si>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</si>
  <si>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</si>
  <si>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</si>
  <si>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</si>
  <si>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</si>
  <si>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</si>
  <si>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</si>
  <si>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</si>
  <si>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</si>
  <si>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</si>
  <si>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</si>
  <si>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</si>
  <si>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</si>
  <si>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</si>
  <si>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</si>
  <si>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</si>
  <si>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</si>
  <si>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</si>
  <si>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</si>
  <si>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</si>
  <si>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</si>
  <si>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</si>
  <si>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</si>
  <si>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</si>
  <si>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</si>
  <si>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</si>
  <si>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</si>
  <si>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</si>
  <si>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</si>
  <si>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</si>
  <si>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</si>
  <si>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</si>
  <si>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</si>
  <si>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</si>
  <si>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</si>
  <si>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</si>
  <si>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</si>
  <si>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</si>
  <si>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</si>
  <si>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</si>
  <si>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</si>
  <si>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</si>
  <si>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</si>
  <si>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</si>
  <si>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</si>
  <si>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</si>
  <si>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</si>
  <si>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</si>
  <si>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</si>
  <si>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</si>
  <si>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</si>
  <si>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</si>
  <si>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</si>
  <si>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</si>
  <si>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</si>
  <si>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</si>
  <si>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</si>
  <si>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</si>
  <si>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</si>
  <si>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</si>
  <si>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</si>
  <si>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</si>
  <si>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</si>
  <si>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</si>
  <si>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</si>
  <si>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</si>
  <si>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</si>
  <si>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</si>
  <si>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</si>
  <si>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</si>
  <si>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</si>
  <si>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</si>
  <si>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</si>
  <si>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</si>
  <si>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</si>
  <si>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</si>
  <si>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</si>
  <si>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</si>
  <si>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</si>
  <si>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</si>
  <si>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</si>
  <si>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</si>
  <si>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</si>
  <si>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</si>
  <si>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</si>
  <si>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</si>
  <si>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</si>
  <si>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</si>
  <si>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</si>
  <si>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</si>
  <si>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</si>
  <si>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</si>
  <si>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</si>
  <si>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</si>
  <si>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</si>
  <si>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</si>
  <si>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</si>
  <si>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</si>
  <si>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</si>
  <si>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</si>
  <si>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</si>
  <si>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</si>
  <si>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</si>
  <si>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</si>
  <si>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</si>
  <si>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</si>
  <si>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</si>
  <si>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</si>
  <si>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</si>
  <si>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</si>
  <si>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</si>
  <si>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</si>
  <si>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</si>
  <si>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</si>
  <si>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</si>
  <si>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</si>
  <si>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</si>
  <si>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</si>
  <si>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</si>
  <si>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</si>
  <si>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</si>
  <si>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</si>
  <si>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</si>
  <si>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</si>
  <si>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</si>
  <si>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</si>
  <si>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</si>
  <si>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</si>
  <si>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</si>
  <si>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</si>
  <si>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</si>
  <si>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</si>
  <si>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</si>
  <si>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</si>
  <si>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</si>
  <si>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</si>
  <si>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</si>
  <si>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</si>
  <si>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</si>
  <si>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</si>
  <si>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</si>
  <si>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</si>
  <si>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</si>
  <si>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</si>
  <si>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</si>
  <si>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</si>
  <si>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</si>
  <si>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</si>
  <si>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</si>
  <si>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</si>
  <si>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</si>
  <si>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</si>
  <si>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</si>
  <si>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</si>
  <si>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</si>
  <si>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</si>
  <si>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</si>
  <si>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</si>
  <si>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</si>
  <si>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</si>
  <si>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</si>
  <si>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</si>
  <si>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</si>
  <si>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</si>
  <si>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</si>
  <si>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</si>
  <si>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</si>
  <si>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</si>
  <si>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</si>
  <si>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</si>
  <si>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</si>
  <si>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</si>
  <si>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</si>
  <si>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</si>
  <si>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</si>
  <si>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</si>
  <si>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</si>
  <si>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</si>
  <si>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</si>
  <si>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</si>
  <si>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</si>
  <si>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</si>
  <si>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</si>
  <si>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</si>
  <si>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</si>
  <si>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</si>
  <si>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</si>
  <si>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</si>
  <si>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</si>
  <si>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</si>
  <si>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</si>
  <si>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</si>
  <si>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</si>
  <si>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</si>
  <si>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</si>
  <si>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</si>
  <si>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</si>
  <si>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</si>
  <si>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</si>
  <si>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</si>
  <si>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</si>
  <si>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</si>
  <si>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</si>
  <si>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</si>
  <si>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</si>
  <si>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</si>
  <si>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</si>
  <si>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</si>
  <si>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</si>
  <si>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</si>
  <si>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</si>
  <si>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</si>
  <si>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</si>
  <si>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</si>
  <si>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</si>
  <si>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</si>
  <si>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</si>
  <si>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</si>
  <si>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</si>
  <si>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</si>
  <si>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</si>
  <si>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</si>
  <si>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</si>
  <si>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</si>
  <si>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</si>
  <si>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</si>
  <si>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</si>
  <si>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</si>
  <si>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</si>
  <si>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</si>
  <si>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</si>
  <si>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</si>
  <si>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</si>
  <si>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</si>
  <si>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</si>
  <si>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</si>
  <si>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</si>
  <si>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</si>
  <si>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</si>
  <si>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</si>
  <si>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</si>
  <si>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</si>
  <si>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</si>
  <si>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</si>
  <si>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</si>
  <si>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</si>
  <si>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</si>
  <si>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</si>
  <si>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</si>
  <si>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</si>
  <si>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</si>
  <si>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</si>
  <si>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</si>
  <si>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</si>
  <si>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</si>
  <si>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</si>
  <si>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</si>
  <si>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</si>
  <si>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</si>
  <si>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</si>
  <si>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</si>
  <si>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</si>
  <si>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</si>
  <si>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</si>
  <si>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</si>
  <si>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</si>
  <si>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</si>
  <si>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</si>
  <si>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</si>
  <si>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</si>
  <si>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</si>
  <si>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</si>
  <si>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</si>
  <si>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</si>
  <si>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</si>
  <si>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</si>
  <si>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</si>
  <si>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</si>
  <si>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</si>
  <si>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</si>
  <si>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</si>
  <si>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</si>
  <si>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</si>
  <si>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</si>
  <si>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</si>
  <si>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</si>
  <si>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</si>
  <si>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</si>
  <si>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</si>
  <si>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</si>
  <si>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</si>
  <si>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</si>
  <si>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</si>
  <si>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</si>
  <si>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</si>
  <si>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</si>
  <si>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</si>
  <si>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</si>
  <si>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</si>
  <si>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</si>
  <si>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</si>
  <si>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</si>
  <si>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</si>
  <si>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</si>
  <si>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</si>
  <si>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</si>
  <si>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</si>
  <si>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</si>
  <si>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</si>
  <si>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</si>
  <si>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</si>
  <si>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</si>
  <si>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</si>
  <si>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</si>
  <si>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</si>
  <si>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</si>
  <si>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</si>
  <si>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</si>
  <si>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</si>
  <si>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</si>
  <si>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</si>
  <si>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</si>
  <si>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</si>
  <si>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</si>
  <si>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</si>
  <si>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</si>
  <si>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</si>
  <si>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</si>
  <si>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</si>
  <si>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</si>
  <si>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</si>
  <si>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</si>
  <si>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</si>
  <si>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</si>
  <si>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</si>
  <si>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</si>
  <si>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</si>
  <si>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</si>
  <si>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</si>
  <si>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</si>
  <si>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</si>
  <si>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</si>
  <si>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</si>
  <si>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</si>
  <si>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</si>
  <si>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</si>
  <si>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</si>
  <si>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</si>
  <si>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</si>
  <si>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</si>
  <si>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</si>
  <si>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</si>
  <si>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</si>
  <si>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</si>
  <si>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</si>
  <si>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</si>
  <si>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</si>
  <si>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</si>
  <si>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</si>
  <si>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</si>
  <si>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</si>
  <si>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</si>
  <si>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</si>
  <si>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</si>
  <si>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</si>
  <si>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</si>
  <si>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</si>
  <si>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</si>
  <si>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</si>
  <si>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</si>
  <si>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</si>
  <si>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</si>
  <si>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</si>
  <si>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</si>
  <si>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</si>
  <si>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</si>
  <si>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</si>
  <si>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</si>
  <si>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</si>
  <si>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</si>
  <si>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</si>
  <si>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</si>
  <si>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</si>
  <si>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</si>
  <si>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</si>
  <si>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</si>
  <si>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</si>
  <si>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</si>
  <si>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</si>
  <si>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</si>
  <si>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</si>
  <si>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</si>
  <si>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</si>
  <si>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</si>
  <si>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</si>
  <si>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</si>
  <si>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</si>
  <si>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</si>
  <si>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</si>
  <si>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</si>
  <si>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</si>
  <si>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</si>
  <si>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</si>
  <si>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</si>
  <si>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</si>
  <si>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</si>
  <si>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</si>
  <si>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</si>
  <si>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</si>
  <si>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</si>
  <si>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</si>
  <si>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</si>
  <si>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</si>
  <si>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</si>
  <si>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</si>
  <si>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</si>
  <si>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</si>
  <si>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</si>
  <si>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</si>
  <si>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</si>
  <si>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</si>
  <si>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</si>
  <si>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</si>
  <si>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</si>
  <si>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</si>
  <si>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</si>
  <si>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</si>
  <si>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</si>
  <si>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</si>
  <si>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</si>
  <si>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</si>
  <si>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</si>
  <si>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</si>
  <si>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</si>
  <si>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</si>
  <si>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</si>
  <si>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</si>
  <si>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</si>
  <si>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</si>
  <si>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</si>
  <si>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</si>
  <si>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</si>
  <si>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</si>
  <si>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</si>
  <si>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</si>
  <si>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</si>
  <si>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</si>
  <si>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</si>
  <si>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</si>
  <si>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</si>
  <si>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</si>
  <si>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</si>
  <si>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</si>
  <si>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</si>
  <si>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</si>
  <si>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</si>
  <si>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</si>
  <si>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</si>
  <si>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</si>
  <si>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</si>
  <si>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</si>
  <si>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</si>
  <si>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</si>
  <si>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</si>
  <si>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</si>
  <si>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</si>
  <si>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</si>
  <si>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</si>
  <si>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</si>
  <si>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</si>
  <si>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</si>
  <si>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</si>
  <si>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</si>
  <si>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</si>
  <si>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</si>
  <si>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</si>
  <si>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</si>
  <si>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</si>
  <si>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</si>
  <si>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</si>
  <si>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</si>
  <si>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</si>
  <si>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</si>
  <si>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</si>
  <si>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</si>
  <si>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</si>
  <si>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</si>
  <si>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</si>
  <si>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</si>
  <si>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</si>
  <si>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</si>
  <si>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</si>
  <si>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</si>
  <si>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</si>
  <si>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</si>
  <si>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</si>
  <si>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</si>
  <si>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</si>
  <si>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</si>
  <si>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</si>
  <si>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</si>
  <si>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</si>
  <si>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</si>
  <si>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</si>
  <si>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</si>
  <si>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</si>
  <si>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</si>
  <si>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</si>
  <si>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</si>
  <si>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</si>
  <si>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</si>
  <si>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</si>
  <si>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</si>
  <si>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</si>
  <si>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</si>
  <si>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</si>
  <si>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</si>
  <si>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</si>
  <si>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</si>
  <si>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</si>
  <si>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</si>
  <si>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</si>
  <si>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</si>
  <si>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</si>
  <si>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</si>
  <si>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</si>
  <si>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</si>
  <si>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</si>
  <si>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</si>
  <si>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</si>
  <si>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</si>
  <si>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</si>
  <si>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</si>
  <si>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</si>
  <si>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</si>
  <si>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</si>
  <si>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</si>
  <si>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</si>
  <si>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</si>
  <si>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</si>
  <si>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</si>
  <si>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</si>
  <si>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</si>
  <si>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</si>
  <si>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</si>
  <si>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</si>
  <si>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</si>
  <si>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</si>
  <si>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</si>
  <si>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</si>
  <si>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</si>
  <si>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</si>
  <si>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</si>
  <si>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</si>
  <si>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</si>
  <si>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</si>
  <si>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</si>
  <si>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</si>
  <si>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</si>
  <si>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</si>
  <si>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</si>
  <si>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</si>
  <si>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</si>
  <si>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</si>
  <si>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</si>
  <si>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</si>
  <si>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</si>
  <si>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</si>
  <si>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</si>
  <si>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</si>
  <si>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</si>
  <si>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</si>
  <si>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</si>
  <si>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</si>
  <si>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</si>
  <si>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</si>
  <si>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</si>
  <si>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</si>
  <si>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</si>
  <si>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</si>
  <si>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</si>
  <si>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</si>
  <si>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</si>
  <si>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</si>
  <si>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</si>
  <si>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</si>
  <si>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</si>
  <si>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</si>
  <si>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</si>
  <si>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</si>
  <si>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</si>
  <si>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</si>
  <si>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</si>
  <si>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</si>
  <si>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</si>
  <si>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</si>
  <si>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</si>
  <si>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</si>
  <si>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</si>
  <si>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</si>
  <si>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</si>
  <si>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</si>
  <si>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</si>
  <si>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</si>
  <si>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</si>
  <si>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</si>
  <si>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</si>
  <si>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</si>
  <si>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</si>
  <si>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</si>
  <si>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</si>
  <si>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</si>
  <si>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</si>
  <si>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</si>
  <si>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</si>
  <si>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</si>
  <si>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</si>
  <si>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</si>
  <si>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</si>
  <si>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</si>
  <si>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</si>
  <si>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</si>
  <si>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</si>
  <si>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</si>
  <si>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</si>
  <si>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</si>
  <si>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</si>
  <si>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</si>
  <si>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</si>
  <si>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</si>
  <si>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</si>
  <si>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</si>
  <si>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</si>
  <si>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</si>
  <si>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</si>
  <si>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</si>
  <si>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</si>
  <si>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</si>
  <si>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</si>
  <si>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</si>
  <si>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</si>
  <si>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</si>
  <si>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</si>
  <si>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</si>
  <si>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</si>
  <si>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</si>
  <si>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</si>
  <si>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</si>
  <si>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</si>
  <si>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</si>
  <si>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</si>
  <si>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</si>
  <si>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</si>
  <si>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</si>
  <si>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</si>
  <si>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</si>
  <si>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</si>
  <si>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</si>
  <si>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</si>
  <si>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</si>
  <si>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</si>
  <si>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</si>
  <si>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</si>
  <si>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</si>
  <si>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</si>
  <si>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</si>
  <si>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</si>
  <si>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</si>
  <si>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</si>
  <si>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</si>
  <si>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</si>
  <si>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</si>
  <si>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</si>
  <si>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</si>
  <si>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</si>
  <si>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</si>
  <si>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</si>
  <si>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</si>
  <si>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</si>
  <si>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</si>
  <si>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</si>
  <si>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</si>
  <si>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</si>
  <si>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</si>
  <si>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</si>
  <si>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</si>
  <si>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</si>
  <si>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</si>
  <si>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</si>
  <si>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</si>
  <si>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</si>
  <si>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</si>
  <si>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</si>
  <si>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</si>
  <si>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</si>
  <si>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</si>
  <si>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</si>
  <si>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</si>
  <si>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</si>
  <si>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</si>
  <si>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</si>
  <si>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</si>
  <si>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</si>
  <si>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</si>
  <si>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</si>
  <si>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</si>
  <si>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</si>
  <si>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</si>
  <si>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</si>
  <si>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</si>
  <si>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</si>
  <si>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</si>
  <si>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</si>
  <si>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</si>
  <si>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</si>
  <si>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</si>
  <si>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</si>
  <si>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</si>
  <si>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</si>
  <si>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</si>
  <si>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</si>
  <si>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</si>
  <si>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</si>
  <si>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</si>
  <si>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</si>
  <si>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</si>
  <si>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</si>
  <si>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</si>
  <si>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</si>
  <si>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</si>
  <si>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</si>
  <si>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</si>
  <si>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</si>
  <si>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</si>
  <si>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</si>
  <si>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</si>
  <si>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</si>
  <si>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</si>
  <si>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</si>
  <si>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</si>
  <si>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</si>
  <si>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</si>
  <si>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</si>
  <si>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</si>
  <si>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</si>
  <si>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</si>
  <si>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</si>
  <si>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</si>
  <si>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</si>
  <si>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</si>
  <si>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</si>
  <si>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</si>
  <si>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</si>
  <si>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</si>
  <si>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</si>
  <si>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</si>
  <si>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</si>
  <si>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</si>
  <si>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</si>
  <si>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</si>
  <si>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</si>
  <si>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</si>
  <si>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</si>
  <si>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</si>
  <si>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</si>
  <si>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</si>
  <si>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</si>
  <si>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</si>
  <si>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</si>
  <si>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</si>
  <si>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</si>
  <si>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</si>
  <si>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</si>
  <si>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</si>
  <si>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</si>
  <si>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</si>
  <si>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</si>
  <si>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</si>
  <si>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</si>
  <si>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</si>
  <si>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</si>
  <si>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</si>
  <si>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</si>
  <si>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</si>
  <si>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</si>
  <si>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</si>
  <si>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</si>
  <si>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</si>
  <si>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</si>
  <si>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</si>
  <si>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</si>
  <si>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</si>
  <si>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</si>
  <si>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</si>
  <si>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</si>
  <si>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</si>
  <si>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</si>
  <si>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</si>
  <si>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</si>
  <si>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</si>
  <si>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</si>
  <si>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</si>
  <si>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</si>
  <si>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</si>
  <si>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</si>
  <si>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</si>
  <si>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</si>
  <si>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</si>
  <si>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</si>
  <si>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</si>
  <si>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</si>
  <si>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</si>
  <si>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</si>
  <si>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</si>
  <si>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</si>
  <si>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</si>
  <si>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</si>
  <si>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</si>
  <si>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</si>
  <si>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</si>
  <si>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</si>
  <si>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</si>
  <si>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</si>
  <si>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</si>
  <si>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</si>
  <si>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</si>
  <si>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</si>
  <si>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</si>
  <si>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</si>
  <si>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</si>
  <si>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</si>
  <si>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</si>
  <si>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</si>
  <si>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</si>
  <si>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</si>
  <si>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</si>
  <si>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</si>
  <si>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</si>
  <si>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</si>
  <si>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</si>
  <si>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</si>
  <si>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</si>
  <si>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</si>
  <si>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</si>
  <si>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</si>
  <si>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</si>
  <si>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</si>
  <si>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</si>
  <si>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</si>
  <si>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</si>
  <si>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</si>
  <si>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</si>
  <si>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</si>
  <si>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</si>
  <si>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</si>
  <si>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</si>
  <si>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</si>
  <si>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</si>
  <si>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</si>
  <si>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</si>
  <si>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</si>
  <si>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</si>
  <si>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</si>
  <si>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</si>
  <si>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</si>
  <si>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</si>
  <si>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</si>
  <si>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</si>
  <si>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</si>
  <si>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</si>
  <si>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</si>
  <si>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</si>
  <si>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</si>
  <si>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</si>
  <si>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</si>
  <si>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</si>
  <si>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</si>
  <si>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</si>
  <si>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</si>
  <si>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</si>
  <si>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</si>
  <si>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</si>
  <si>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</si>
  <si>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</si>
  <si>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</si>
  <si>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</si>
  <si>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</si>
  <si>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</si>
  <si>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</si>
  <si>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</si>
  <si>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</si>
  <si>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</si>
  <si>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</si>
  <si>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</si>
  <si>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</si>
  <si>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</si>
  <si>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</si>
  <si>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</si>
  <si>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</si>
  <si>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</si>
  <si>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</si>
  <si>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</si>
  <si>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</si>
  <si>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</si>
  <si>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</si>
  <si>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</si>
  <si>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</si>
  <si>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</si>
  <si>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</si>
  <si>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</si>
  <si>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</si>
  <si>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</si>
  <si>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</si>
  <si>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</si>
  <si>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</si>
  <si>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</si>
  <si>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</si>
  <si>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</si>
  <si>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</si>
  <si>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</si>
  <si>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</si>
  <si>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</si>
  <si>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</si>
  <si>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</si>
  <si>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</si>
  <si>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</si>
  <si>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</si>
  <si>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</si>
  <si>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</si>
  <si>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</si>
  <si>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</si>
  <si>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</si>
  <si>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</si>
  <si>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</si>
  <si>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</si>
  <si>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</si>
  <si>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</si>
  <si>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</si>
  <si>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</si>
  <si>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</si>
  <si>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</si>
  <si>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</si>
  <si>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</si>
  <si>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</si>
  <si>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</si>
  <si>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</si>
  <si>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</si>
  <si>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</si>
  <si>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</si>
  <si>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</si>
  <si>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</si>
  <si>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</si>
  <si>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</si>
  <si>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</si>
  <si>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</si>
  <si>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</si>
  <si>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</si>
  <si>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</si>
  <si>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</si>
  <si>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</si>
  <si>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</si>
  <si>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</si>
  <si>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</si>
  <si>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</si>
  <si>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</si>
  <si>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</si>
  <si>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</si>
  <si>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</si>
  <si>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</si>
  <si>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</si>
  <si>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</si>
  <si>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</si>
  <si>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</si>
  <si>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</si>
  <si>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</si>
  <si>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</si>
  <si>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</si>
  <si>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</si>
  <si>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</si>
  <si>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</si>
  <si>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</si>
  <si>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</si>
  <si>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</si>
  <si>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</si>
  <si>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</si>
  <si>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</si>
  <si>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</si>
  <si>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</si>
  <si>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</si>
  <si>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</si>
  <si>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</si>
  <si>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</si>
  <si>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</si>
  <si>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</si>
  <si>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</si>
  <si>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</si>
  <si>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</si>
  <si>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</si>
  <si>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</si>
  <si>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</si>
  <si>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</si>
  <si>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</si>
  <si>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</si>
  <si>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</si>
  <si>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</si>
  <si>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</si>
  <si>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</si>
  <si>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</si>
  <si>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</si>
  <si>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</si>
  <si>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</si>
  <si>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</si>
  <si>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</si>
  <si>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</si>
  <si>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</si>
  <si>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</si>
  <si>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</si>
  <si>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</si>
  <si>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</si>
  <si>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</si>
  <si>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</si>
  <si>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</si>
  <si>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</si>
  <si>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</si>
  <si>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</si>
  <si>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</si>
  <si>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</si>
  <si>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</si>
  <si>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</si>
  <si>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</si>
  <si>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</si>
  <si>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</si>
  <si>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</si>
  <si>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</si>
  <si>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</si>
  <si>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</si>
  <si>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</si>
  <si>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</si>
  <si>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</si>
  <si>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</si>
  <si>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</si>
  <si>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2614</t>
  </si>
  <si>
    <t>26641633</t>
  </si>
  <si>
    <t>АО "АТЭК"</t>
  </si>
  <si>
    <t>7826135558</t>
  </si>
  <si>
    <t>780501001</t>
  </si>
  <si>
    <t>26422350</t>
  </si>
  <si>
    <t>АО "Аккумуляторная компания "Ригель"</t>
  </si>
  <si>
    <t>7813054118</t>
  </si>
  <si>
    <t>781301001</t>
  </si>
  <si>
    <t>26420583</t>
  </si>
  <si>
    <t>АО "Аэропорт "Пулково"</t>
  </si>
  <si>
    <t>7810091320</t>
  </si>
  <si>
    <t>783450001</t>
  </si>
  <si>
    <t>26422149</t>
  </si>
  <si>
    <t>АО "БЦ "АКВИЛОН"</t>
  </si>
  <si>
    <t>7802067080</t>
  </si>
  <si>
    <t>780201001</t>
  </si>
  <si>
    <t>31203865</t>
  </si>
  <si>
    <t>АО "Балтийский завод"</t>
  </si>
  <si>
    <t>7830001910</t>
  </si>
  <si>
    <t>780101001</t>
  </si>
  <si>
    <t>28155116</t>
  </si>
  <si>
    <t>АО "ВНИИРА"</t>
  </si>
  <si>
    <t>7801236681</t>
  </si>
  <si>
    <t>31-05-2023 00:00:00</t>
  </si>
  <si>
    <t>28266590</t>
  </si>
  <si>
    <t>АО "Василеостровская Фабрика"</t>
  </si>
  <si>
    <t>7825115990</t>
  </si>
  <si>
    <t>26847594</t>
  </si>
  <si>
    <t>АО "Водтрансприбор"</t>
  </si>
  <si>
    <t>7814010307</t>
  </si>
  <si>
    <t>781401001</t>
  </si>
  <si>
    <t>26361120</t>
  </si>
  <si>
    <t>АО "ГСР ТЭЦ"</t>
  </si>
  <si>
    <t>7817312063</t>
  </si>
  <si>
    <t>781701001</t>
  </si>
  <si>
    <t>26560525</t>
  </si>
  <si>
    <t>АО "ГУ ЖКХ"</t>
  </si>
  <si>
    <t>5116000922</t>
  </si>
  <si>
    <t>511601001</t>
  </si>
  <si>
    <t>13-05-2009 00:00:00</t>
  </si>
  <si>
    <t>30335229</t>
  </si>
  <si>
    <t>770401001</t>
  </si>
  <si>
    <t>28491236</t>
  </si>
  <si>
    <t>АО "Гостиница "Туррис"</t>
  </si>
  <si>
    <t>7830002575</t>
  </si>
  <si>
    <t>28450115</t>
  </si>
  <si>
    <t>АО "Группа Прайм"</t>
  </si>
  <si>
    <t>7825696286</t>
  </si>
  <si>
    <t>26422100</t>
  </si>
  <si>
    <t>АО "Завод "Реконд"</t>
  </si>
  <si>
    <t>7802005951</t>
  </si>
  <si>
    <t>01-07-1990 00:00:00</t>
  </si>
  <si>
    <t>26641637</t>
  </si>
  <si>
    <t>АО "Завод имени А.А.Кулакова"</t>
  </si>
  <si>
    <t>7813346618</t>
  </si>
  <si>
    <t>27621401</t>
  </si>
  <si>
    <t>АО "Завод имени М.И.Калинина"</t>
  </si>
  <si>
    <t>7801566094</t>
  </si>
  <si>
    <t>28812728</t>
  </si>
  <si>
    <t>АО "КИНОСТУДИЯ "ЛЕНФИЛЬМ"</t>
  </si>
  <si>
    <t>7813200545</t>
  </si>
  <si>
    <t>26361104</t>
  </si>
  <si>
    <t>АО "КировТЭК"</t>
  </si>
  <si>
    <t>7805060502</t>
  </si>
  <si>
    <t>26361095</t>
  </si>
  <si>
    <t>АО "Компонент"</t>
  </si>
  <si>
    <t>7804046015</t>
  </si>
  <si>
    <t>780401001</t>
  </si>
  <si>
    <t>28505234</t>
  </si>
  <si>
    <t>АО "Кронштадтский морской завод"</t>
  </si>
  <si>
    <t>7843003128</t>
  </si>
  <si>
    <t>784301001</t>
  </si>
  <si>
    <t>28453717</t>
  </si>
  <si>
    <t>АО "ЛКХП Кирова"</t>
  </si>
  <si>
    <t>7830002303</t>
  </si>
  <si>
    <t>26361094</t>
  </si>
  <si>
    <t>АО "ЛОМО"</t>
  </si>
  <si>
    <t>7804002321</t>
  </si>
  <si>
    <t>26614924</t>
  </si>
  <si>
    <t>АО "ЛСР. Железобетон-СЗ"</t>
  </si>
  <si>
    <t>7830000578</t>
  </si>
  <si>
    <t>470501001</t>
  </si>
  <si>
    <t>27824854</t>
  </si>
  <si>
    <t>АО "Ленпромгаз"</t>
  </si>
  <si>
    <t>7841333120</t>
  </si>
  <si>
    <t>784101001</t>
  </si>
  <si>
    <t>26361102</t>
  </si>
  <si>
    <t>АО "Морской порт Санкт-Петербург"</t>
  </si>
  <si>
    <t>7805025346</t>
  </si>
  <si>
    <t>30983227</t>
  </si>
  <si>
    <t>АО "НИИ "Вектор"</t>
  </si>
  <si>
    <t>7813491943</t>
  </si>
  <si>
    <t>28796102</t>
  </si>
  <si>
    <t>АО "НИИ командных приборов"</t>
  </si>
  <si>
    <t>7805654288</t>
  </si>
  <si>
    <t>27628470</t>
  </si>
  <si>
    <t>АО "НПП "Краснознамёнец"</t>
  </si>
  <si>
    <t>7806469104</t>
  </si>
  <si>
    <t>19-01-2012 00:00:00</t>
  </si>
  <si>
    <t>27551052</t>
  </si>
  <si>
    <t>АО "Невская мануфактура"</t>
  </si>
  <si>
    <t>7811056991</t>
  </si>
  <si>
    <t>781101001</t>
  </si>
  <si>
    <t>31206594</t>
  </si>
  <si>
    <t>АО "Особая экономическая зона "Санкт-Петербург"</t>
  </si>
  <si>
    <t>7819036901</t>
  </si>
  <si>
    <t>781901001</t>
  </si>
  <si>
    <t>28155081</t>
  </si>
  <si>
    <t>АО "Первый контейнерный терминал"</t>
  </si>
  <si>
    <t>7805113497</t>
  </si>
  <si>
    <t>997650001</t>
  </si>
  <si>
    <t>28072594</t>
  </si>
  <si>
    <t>АО "РУСТ-95"</t>
  </si>
  <si>
    <t>7728120384</t>
  </si>
  <si>
    <t>26828034</t>
  </si>
  <si>
    <t>АО "РЭУ" филиал "Санкт-Петербургский"</t>
  </si>
  <si>
    <t>7714783092</t>
  </si>
  <si>
    <t>783943001</t>
  </si>
  <si>
    <t>28042569</t>
  </si>
  <si>
    <t>АО "Редэс Лтд"</t>
  </si>
  <si>
    <t>7801059070</t>
  </si>
  <si>
    <t>26361106</t>
  </si>
  <si>
    <t>АО "Русские самоцветы"</t>
  </si>
  <si>
    <t>7806007100</t>
  </si>
  <si>
    <t>28143840</t>
  </si>
  <si>
    <t>АО "Рыбокомбинат"</t>
  </si>
  <si>
    <t>7804036909</t>
  </si>
  <si>
    <t>31416469</t>
  </si>
  <si>
    <t>АО "Сетевая компания "ОСК"</t>
  </si>
  <si>
    <t>7805735152</t>
  </si>
  <si>
    <t>29-10-2018 00:00:00</t>
  </si>
  <si>
    <t>26590970</t>
  </si>
  <si>
    <t>АО "Совавто-С.Петербург"</t>
  </si>
  <si>
    <t>7810216498</t>
  </si>
  <si>
    <t>28091963</t>
  </si>
  <si>
    <t>АО "Телерадиокомпания "Петербург"</t>
  </si>
  <si>
    <t>7825404448</t>
  </si>
  <si>
    <t>26555650</t>
  </si>
  <si>
    <t>АО "Теплосеть Санкт-Петербурга"</t>
  </si>
  <si>
    <t>7810577007</t>
  </si>
  <si>
    <t>28152736</t>
  </si>
  <si>
    <t>АО "ЦКБ МТ "Рубин"</t>
  </si>
  <si>
    <t>7838418751</t>
  </si>
  <si>
    <t>997850001</t>
  </si>
  <si>
    <t>26533887</t>
  </si>
  <si>
    <t>АО "Юго-Западная ТЭЦ"</t>
  </si>
  <si>
    <t>7813323258</t>
  </si>
  <si>
    <t>28042447</t>
  </si>
  <si>
    <t>АО ВО "Электроаппарат"</t>
  </si>
  <si>
    <t>7801032688</t>
  </si>
  <si>
    <t>30427522</t>
  </si>
  <si>
    <t>АО ГУ ЖКХ ОП "Санкт-Петербургское"</t>
  </si>
  <si>
    <t>784245001</t>
  </si>
  <si>
    <t>12-10-2015 00:00:00</t>
  </si>
  <si>
    <t>27997479</t>
  </si>
  <si>
    <t>Акционерное общество "Иван Федоров"</t>
  </si>
  <si>
    <t>7816067965</t>
  </si>
  <si>
    <t>01-08-2013 00:00:00</t>
  </si>
  <si>
    <t>28855708</t>
  </si>
  <si>
    <t>ГАО РАН</t>
  </si>
  <si>
    <t>7810207327</t>
  </si>
  <si>
    <t>26422494</t>
  </si>
  <si>
    <t>ГУП "Водоканал Санкт-Петербурга"</t>
  </si>
  <si>
    <t>7830000426</t>
  </si>
  <si>
    <t>784201001</t>
  </si>
  <si>
    <t>26361126</t>
  </si>
  <si>
    <t>ГУП "ТЭК СПб"</t>
  </si>
  <si>
    <t>7830001028</t>
  </si>
  <si>
    <t>28274316</t>
  </si>
  <si>
    <t>ЗАО "Асфальтобетонный Завод "Магистраль"</t>
  </si>
  <si>
    <t>7811038093</t>
  </si>
  <si>
    <t>28867621</t>
  </si>
  <si>
    <t>ЗАО "ЗМК-ИК"</t>
  </si>
  <si>
    <t>7811500159</t>
  </si>
  <si>
    <t>26361096</t>
  </si>
  <si>
    <t>ЗАО "Завод Красная Заря. Системы цифровой связи"</t>
  </si>
  <si>
    <t>7804080383</t>
  </si>
  <si>
    <t>28794896</t>
  </si>
  <si>
    <t>ЗАО "Невский завод"</t>
  </si>
  <si>
    <t>7806369727</t>
  </si>
  <si>
    <t>28493183</t>
  </si>
  <si>
    <t>ЗАО "Пансионат "Балтиец"</t>
  </si>
  <si>
    <t>7805093610</t>
  </si>
  <si>
    <t>26422368</t>
  </si>
  <si>
    <t>ЗАО "Пансионат "Буревестник"</t>
  </si>
  <si>
    <t>7827012742</t>
  </si>
  <si>
    <t>28042468</t>
  </si>
  <si>
    <t>ЗАО "Петроспирт"</t>
  </si>
  <si>
    <t>7805002518</t>
  </si>
  <si>
    <t>26597721</t>
  </si>
  <si>
    <t>ЗАО "Пластполимер-Т"</t>
  </si>
  <si>
    <t>7806419142</t>
  </si>
  <si>
    <t>780601001</t>
  </si>
  <si>
    <t>26533889</t>
  </si>
  <si>
    <t>ЗАО "Ресурс-Экономия"</t>
  </si>
  <si>
    <t>7820039657</t>
  </si>
  <si>
    <t>782001001</t>
  </si>
  <si>
    <t>27997575</t>
  </si>
  <si>
    <t>ЗАО "СВ-Сити"</t>
  </si>
  <si>
    <t>7816206305</t>
  </si>
  <si>
    <t>781601001</t>
  </si>
  <si>
    <t>26361116</t>
  </si>
  <si>
    <t>ЗАО "Тепломагистраль"</t>
  </si>
  <si>
    <t>7814302758</t>
  </si>
  <si>
    <t>28943782</t>
  </si>
  <si>
    <t>ЗАО "ЭКСИ-Банк"</t>
  </si>
  <si>
    <t>7831000940</t>
  </si>
  <si>
    <t>783501001</t>
  </si>
  <si>
    <t>26555694</t>
  </si>
  <si>
    <t>ЗАО "Энергетическая компания "Теплогарант"</t>
  </si>
  <si>
    <t>7814143498</t>
  </si>
  <si>
    <t>783601001</t>
  </si>
  <si>
    <t>11-07-2023 00:00:00</t>
  </si>
  <si>
    <t>28458587</t>
  </si>
  <si>
    <t>ИХС РАН</t>
  </si>
  <si>
    <t>7801019101</t>
  </si>
  <si>
    <t>28284366</t>
  </si>
  <si>
    <t>МРФ "Северо-Запад" ПАО "Ростелеком"</t>
  </si>
  <si>
    <t>7707049388</t>
  </si>
  <si>
    <t>784243001</t>
  </si>
  <si>
    <t>28816484</t>
  </si>
  <si>
    <t>НАО "СВЕЗА Усть-Ижора"</t>
  </si>
  <si>
    <t>7817015769</t>
  </si>
  <si>
    <t>27114822</t>
  </si>
  <si>
    <t>НАО "Энергетический Альянс"</t>
  </si>
  <si>
    <t>7843300280</t>
  </si>
  <si>
    <t>28453706</t>
  </si>
  <si>
    <t>ОАО "20 АРЗ"</t>
  </si>
  <si>
    <t>7820309254</t>
  </si>
  <si>
    <t>28453728</t>
  </si>
  <si>
    <t>ОАО "61 БТРЗ"</t>
  </si>
  <si>
    <t>7819310752</t>
  </si>
  <si>
    <t>28091987</t>
  </si>
  <si>
    <t>ОАО "ГОИ им. С. И. Вавилова"</t>
  </si>
  <si>
    <t>7801591397</t>
  </si>
  <si>
    <t>26361118</t>
  </si>
  <si>
    <t>ОАО "Головной завод"</t>
  </si>
  <si>
    <t>7816222000</t>
  </si>
  <si>
    <t>26647768</t>
  </si>
  <si>
    <t>ОАО "ДОЗ-2"</t>
  </si>
  <si>
    <t>7830000271</t>
  </si>
  <si>
    <t>27997553</t>
  </si>
  <si>
    <t>ОАО "ДЦ "Кантемировский"</t>
  </si>
  <si>
    <t>7813425073</t>
  </si>
  <si>
    <t>13-03-2023 00:00:00</t>
  </si>
  <si>
    <t>28544720</t>
  </si>
  <si>
    <t>ОАО "Завод ЭЛЕКТРОПУЛЬТ"</t>
  </si>
  <si>
    <t>7806008569</t>
  </si>
  <si>
    <t>27956327</t>
  </si>
  <si>
    <t>ОАО "Завод слоистых пластиков"</t>
  </si>
  <si>
    <t>7806005590</t>
  </si>
  <si>
    <t>26361091</t>
  </si>
  <si>
    <t>ОАО "Компрессор"</t>
  </si>
  <si>
    <t>7802071707</t>
  </si>
  <si>
    <t>26647775</t>
  </si>
  <si>
    <t>ОАО "Концерн "Гранит-Электрон"</t>
  </si>
  <si>
    <t>7842335610</t>
  </si>
  <si>
    <t>28042181</t>
  </si>
  <si>
    <t>ОАО "ЛЕНПОЛИГРАФМАШ"</t>
  </si>
  <si>
    <t>7813045025</t>
  </si>
  <si>
    <t>28453744</t>
  </si>
  <si>
    <t>ОАО "МЗ "Арсенал"</t>
  </si>
  <si>
    <t>7804040302</t>
  </si>
  <si>
    <t>27968093</t>
  </si>
  <si>
    <t>ОАО "Морской завод Алмаз"</t>
  </si>
  <si>
    <t>7728156800</t>
  </si>
  <si>
    <t>26361122</t>
  </si>
  <si>
    <t>ОАО "НПО ЦКТИ"</t>
  </si>
  <si>
    <t>7825660956</t>
  </si>
  <si>
    <t>26422145</t>
  </si>
  <si>
    <t>ОАО "Научно-производственный комплекс "Северная заря"</t>
  </si>
  <si>
    <t>7802064795</t>
  </si>
  <si>
    <t>28152707</t>
  </si>
  <si>
    <t>ОАО "Приморский парк Победы"</t>
  </si>
  <si>
    <t>7813464548</t>
  </si>
  <si>
    <t>26422310</t>
  </si>
  <si>
    <t>ОАО "Прядильно-ниточный комбинат "Красная нить"</t>
  </si>
  <si>
    <t>7802052172</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</si>
  <si>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</si>
  <si>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</si>
  <si>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</si>
  <si>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</si>
  <si>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</si>
  <si>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28255000</t>
  </si>
  <si>
    <t>ОАО "СПб Завод ТЭМП"</t>
  </si>
  <si>
    <t>7805017514</t>
  </si>
  <si>
    <t>26515996</t>
  </si>
  <si>
    <t>ОАО "Санкт-Петербургское морское бюро машиностроения "Малахит"</t>
  </si>
  <si>
    <t>7810537540</t>
  </si>
  <si>
    <t>18-11-2008 00:00:00</t>
  </si>
  <si>
    <t>28155094</t>
  </si>
  <si>
    <t>ОАО "Стройметалконструкция"</t>
  </si>
  <si>
    <t>7830000680</t>
  </si>
  <si>
    <t>27961378</t>
  </si>
  <si>
    <t>ОАО "Фирма Медполимер"</t>
  </si>
  <si>
    <t>7806008745</t>
  </si>
  <si>
    <t>28145322</t>
  </si>
  <si>
    <t>ОАО "Штурманские приборы"</t>
  </si>
  <si>
    <t>7806016697</t>
  </si>
  <si>
    <t>28427914</t>
  </si>
  <si>
    <t>ООО "АЛЬТЕРНАТИВА"</t>
  </si>
  <si>
    <t>7804509545</t>
  </si>
  <si>
    <t>31475145</t>
  </si>
  <si>
    <t>ООО "АНМ" (Александро-Невская мануфактура)</t>
  </si>
  <si>
    <t>7811185789</t>
  </si>
  <si>
    <t>26421969</t>
  </si>
  <si>
    <t>ООО "Адамант"</t>
  </si>
  <si>
    <t>7826101774</t>
  </si>
  <si>
    <t>783801001</t>
  </si>
  <si>
    <t>28942335</t>
  </si>
  <si>
    <t>ООО "Аквастим"</t>
  </si>
  <si>
    <t>7810896892</t>
  </si>
  <si>
    <t>26361105</t>
  </si>
  <si>
    <t>ООО "Акватерм"</t>
  </si>
  <si>
    <t>7805185251</t>
  </si>
  <si>
    <t>28427903</t>
  </si>
  <si>
    <t>ООО "Александро-Невская мануфактура"</t>
  </si>
  <si>
    <t>7811307571</t>
  </si>
  <si>
    <t>27819284</t>
  </si>
  <si>
    <t>ООО "Атлантик"</t>
  </si>
  <si>
    <t>7826135075</t>
  </si>
  <si>
    <t>26555079</t>
  </si>
  <si>
    <t>ООО "Воздушные ворота северной столицы"</t>
  </si>
  <si>
    <t>7703590927</t>
  </si>
  <si>
    <t>785150001</t>
  </si>
  <si>
    <t>28042558</t>
  </si>
  <si>
    <t>ООО "Возрождение"</t>
  </si>
  <si>
    <t>7840332364</t>
  </si>
  <si>
    <t>784001001</t>
  </si>
  <si>
    <t>30925410</t>
  </si>
  <si>
    <t>ООО "ГАЗКОМПЛЕКТ"</t>
  </si>
  <si>
    <t>7802528743</t>
  </si>
  <si>
    <t>26361113</t>
  </si>
  <si>
    <t>ООО "ГЕНЕРИРУЮЩАЯ КОМПАНИЯ "ОБУХОВОЭНЕРГО"</t>
  </si>
  <si>
    <t>7811618471</t>
  </si>
  <si>
    <t>26424110</t>
  </si>
  <si>
    <t>ООО "Газпром трансгаз Санкт-Петербург"</t>
  </si>
  <si>
    <t>7805018099</t>
  </si>
  <si>
    <t>26838677</t>
  </si>
  <si>
    <t>ООО "Гофра-2001"</t>
  </si>
  <si>
    <t>7820304249</t>
  </si>
  <si>
    <t>31350492</t>
  </si>
  <si>
    <t>ООО "ЕСЭ-Кубань"</t>
  </si>
  <si>
    <t>2373002188</t>
  </si>
  <si>
    <t>237301001</t>
  </si>
  <si>
    <t>06-09-2012 00:00:00</t>
  </si>
  <si>
    <t>31464180</t>
  </si>
  <si>
    <t>781445001</t>
  </si>
  <si>
    <t>26361092</t>
  </si>
  <si>
    <t>ООО "ИНТЕРМ"</t>
  </si>
  <si>
    <t>7802127477</t>
  </si>
  <si>
    <t>19-07-2023 00:00:00</t>
  </si>
  <si>
    <t>31598749</t>
  </si>
  <si>
    <t>ООО "ИТЭ"</t>
  </si>
  <si>
    <t>7447297114</t>
  </si>
  <si>
    <t>744701001</t>
  </si>
  <si>
    <t>09-10-2020 00:00:00</t>
  </si>
  <si>
    <t>28122490</t>
  </si>
  <si>
    <t>ООО "Институт Гипроникель"</t>
  </si>
  <si>
    <t>7804349796</t>
  </si>
  <si>
    <t>26421911</t>
  </si>
  <si>
    <t>ООО "КОСМ "Энерго"</t>
  </si>
  <si>
    <t>7805065476</t>
  </si>
  <si>
    <t>31718234</t>
  </si>
  <si>
    <t>ООО "КТК"</t>
  </si>
  <si>
    <t>7817051911</t>
  </si>
  <si>
    <t>26361093</t>
  </si>
  <si>
    <t>ООО "Квартальная котельная"</t>
  </si>
  <si>
    <t>7802310698</t>
  </si>
  <si>
    <t>31586314</t>
  </si>
  <si>
    <t>ООО "Кожа СПб"</t>
  </si>
  <si>
    <t>7801706143</t>
  </si>
  <si>
    <t>09-11-2021 00:00:00</t>
  </si>
  <si>
    <t>28965696</t>
  </si>
  <si>
    <t>ООО "ЛПМ Скиф"</t>
  </si>
  <si>
    <t>7813142702</t>
  </si>
  <si>
    <t>31450519</t>
  </si>
  <si>
    <t>ООО "МЕЗОНЭНЕРГО"</t>
  </si>
  <si>
    <t>7802698819</t>
  </si>
  <si>
    <t>15-11-2019 00:00:00</t>
  </si>
  <si>
    <t>27546308</t>
  </si>
  <si>
    <t>ООО "МегаСтрой"</t>
  </si>
  <si>
    <t>7801185204</t>
  </si>
  <si>
    <t>31452002</t>
  </si>
  <si>
    <t>ООО "ОРИЕНТ БРИДЖ"</t>
  </si>
  <si>
    <t>9729095825</t>
  </si>
  <si>
    <t>772901001</t>
  </si>
  <si>
    <t>15-06-2017 00:00:00</t>
  </si>
  <si>
    <t>28152725</t>
  </si>
  <si>
    <t>ООО "Объединенные Пивоварни Хейникен"</t>
  </si>
  <si>
    <t>7802118578</t>
  </si>
  <si>
    <t>997350001</t>
  </si>
  <si>
    <t>28940429</t>
  </si>
  <si>
    <t>27266270</t>
  </si>
  <si>
    <t>ООО "Петербургтеплоэнерго"</t>
  </si>
  <si>
    <t>7838024362</t>
  </si>
  <si>
    <t>783901001</t>
  </si>
  <si>
    <t>26421926</t>
  </si>
  <si>
    <t>ООО "Проектно-производственная компания "Регион"</t>
  </si>
  <si>
    <t>7802431406</t>
  </si>
  <si>
    <t>26322164</t>
  </si>
  <si>
    <t>ООО "Производственное объединение "Пекар"</t>
  </si>
  <si>
    <t>7801374265</t>
  </si>
  <si>
    <t>26361108</t>
  </si>
  <si>
    <t>ООО "Пулковская ТЭЦ"</t>
  </si>
  <si>
    <t>7810095885</t>
  </si>
  <si>
    <t>02-02-2023 00:00:00</t>
  </si>
  <si>
    <t>26647770</t>
  </si>
  <si>
    <t>ООО "Рассвет"</t>
  </si>
  <si>
    <t>7810191726</t>
  </si>
  <si>
    <t>28042486</t>
  </si>
  <si>
    <t>ООО "СЗУК"</t>
  </si>
  <si>
    <t>7810509293</t>
  </si>
  <si>
    <t>26422761</t>
  </si>
  <si>
    <t>ООО "Самсон"</t>
  </si>
  <si>
    <t>7810015329</t>
  </si>
  <si>
    <t>28255011</t>
  </si>
  <si>
    <t>ООО "Светлана-Эстейт"</t>
  </si>
  <si>
    <t>7802385950</t>
  </si>
  <si>
    <t>27831333</t>
  </si>
  <si>
    <t>ООО "Системы Безопасности Северо-Запад"</t>
  </si>
  <si>
    <t>7802338277</t>
  </si>
  <si>
    <t>28509704</t>
  </si>
  <si>
    <t>ООО "Степан Разин Девелопмент"</t>
  </si>
  <si>
    <t>7805614870</t>
  </si>
  <si>
    <t>31682805</t>
  </si>
  <si>
    <t>ООО "ТЕПЛОСВЕТЛОЭНЕРГО"</t>
  </si>
  <si>
    <t>7802932762</t>
  </si>
  <si>
    <t>18-11-2022 00:00:00</t>
  </si>
  <si>
    <t>28511826</t>
  </si>
  <si>
    <t>ООО "ТЕПЛОЭНЕРГО"</t>
  </si>
  <si>
    <t>7802853013</t>
  </si>
  <si>
    <t>31308473</t>
  </si>
  <si>
    <t>ООО "ТСК 270"</t>
  </si>
  <si>
    <t>7838497200</t>
  </si>
  <si>
    <t>06-11-2013 00:00:00</t>
  </si>
  <si>
    <t>29647643</t>
  </si>
  <si>
    <t>ООО "ТСК"</t>
  </si>
  <si>
    <t>7842033592</t>
  </si>
  <si>
    <t>28113372</t>
  </si>
  <si>
    <t>ООО "ТЭК объединения "Скороход"</t>
  </si>
  <si>
    <t>7810270209</t>
  </si>
  <si>
    <t>31341607</t>
  </si>
  <si>
    <t>ООО "ТЭС СПб"</t>
  </si>
  <si>
    <t>7842141492</t>
  </si>
  <si>
    <t>31684265</t>
  </si>
  <si>
    <t>ООО "ТЭС"</t>
  </si>
  <si>
    <t>7842175269</t>
  </si>
  <si>
    <t>26-09-2019 00:00:00</t>
  </si>
  <si>
    <t>26421986</t>
  </si>
  <si>
    <t>ООО "Таймс"</t>
  </si>
  <si>
    <t>7814122120</t>
  </si>
  <si>
    <t>28422808</t>
  </si>
  <si>
    <t>ООО "ТеплоЭнергоВент"</t>
  </si>
  <si>
    <t>7806438628</t>
  </si>
  <si>
    <t>27971244</t>
  </si>
  <si>
    <t>ООО "Теплосервис"</t>
  </si>
  <si>
    <t>7839357460</t>
  </si>
  <si>
    <t>28151979</t>
  </si>
  <si>
    <t>ООО "Теплоснабжающая компания 282"</t>
  </si>
  <si>
    <t>7805519673</t>
  </si>
  <si>
    <t>28798987</t>
  </si>
  <si>
    <t>ООО "Технопарк №1"</t>
  </si>
  <si>
    <t>7841014910</t>
  </si>
  <si>
    <t>28001891</t>
  </si>
  <si>
    <t>ООО "Троя"</t>
  </si>
  <si>
    <t>7820034338</t>
  </si>
  <si>
    <t>28042530</t>
  </si>
  <si>
    <t>ООО "Хлебтранс СПб"</t>
  </si>
  <si>
    <t>7810467163</t>
  </si>
  <si>
    <t>783101001</t>
  </si>
  <si>
    <t>27988538</t>
  </si>
  <si>
    <t>ООО "ЦМТ и НТС"</t>
  </si>
  <si>
    <t>7813109141</t>
  </si>
  <si>
    <t>31635214</t>
  </si>
  <si>
    <t>ООО "Цветение вишни"</t>
  </si>
  <si>
    <t>7813232321</t>
  </si>
  <si>
    <t>27848302</t>
  </si>
  <si>
    <t>ООО "ЭКОН"</t>
  </si>
  <si>
    <t>7804176134</t>
  </si>
  <si>
    <t>26769190</t>
  </si>
  <si>
    <t>ООО "ЭНЕРГИЯ"</t>
  </si>
  <si>
    <t>7826087336</t>
  </si>
  <si>
    <t>28134965</t>
  </si>
  <si>
    <t>ООО "ЭНЕРГЭС"</t>
  </si>
  <si>
    <t>7801089980</t>
  </si>
  <si>
    <t>31342047</t>
  </si>
  <si>
    <t>ООО "ЭПС"</t>
  </si>
  <si>
    <t>7810757754</t>
  </si>
  <si>
    <t>26361114</t>
  </si>
  <si>
    <t>ООО "Эксплуатационная компания "Арго-Сервис"</t>
  </si>
  <si>
    <t>7811375691</t>
  </si>
  <si>
    <t>27976484</t>
  </si>
  <si>
    <t>ООО "Энергетические системы"</t>
  </si>
  <si>
    <t>7806302458</t>
  </si>
  <si>
    <t>28979613</t>
  </si>
  <si>
    <t>ООО "ЭнергоИнвест"</t>
  </si>
  <si>
    <t>7841378040</t>
  </si>
  <si>
    <t>30953255</t>
  </si>
  <si>
    <t>26421941</t>
  </si>
  <si>
    <t>ООО "ЭнергоРесурс 2005"</t>
  </si>
  <si>
    <t>7805387057</t>
  </si>
  <si>
    <t>27517472</t>
  </si>
  <si>
    <t>ООО "Энергогазмонтаж"</t>
  </si>
  <si>
    <t>7806119950</t>
  </si>
  <si>
    <t>26361123</t>
  </si>
  <si>
    <t>ООО "Энергосервис"</t>
  </si>
  <si>
    <t>7826140438</t>
  </si>
  <si>
    <t>28423270</t>
  </si>
  <si>
    <t>ООО "ЮИТ Сервис"</t>
  </si>
  <si>
    <t>7814422759</t>
  </si>
  <si>
    <t>26578046</t>
  </si>
  <si>
    <t>ООО "Юнит"</t>
  </si>
  <si>
    <t>7207009725</t>
  </si>
  <si>
    <t>31604737</t>
  </si>
  <si>
    <t>ООО УК "АСК"</t>
  </si>
  <si>
    <t>7801673850</t>
  </si>
  <si>
    <t>05-11-2019 00:00:00</t>
  </si>
  <si>
    <t>28496542</t>
  </si>
  <si>
    <t>ООО УК "Лэмз"</t>
  </si>
  <si>
    <t>7703792360</t>
  </si>
  <si>
    <t>26647708</t>
  </si>
  <si>
    <t>ПАО "Пролетарский завод"</t>
  </si>
  <si>
    <t>7811039386</t>
  </si>
  <si>
    <t>27054332</t>
  </si>
  <si>
    <t>ПАО "ТГК-1" (не использовать в ЕИАС)</t>
  </si>
  <si>
    <t>7841312071</t>
  </si>
  <si>
    <t>780102001</t>
  </si>
  <si>
    <t>26539356</t>
  </si>
  <si>
    <t>ПАО "ТГК-1" филиал "Невский"</t>
  </si>
  <si>
    <t>26422151</t>
  </si>
  <si>
    <t>ПАО "Техприбор"</t>
  </si>
  <si>
    <t>7810237177</t>
  </si>
  <si>
    <t>28960049</t>
  </si>
  <si>
    <t>ПАО СЗ "Северная верфь"</t>
  </si>
  <si>
    <t>7805034277</t>
  </si>
  <si>
    <t>26516049</t>
  </si>
  <si>
    <t>С/х производственный кооператив "Племзавод "Детскосельский"</t>
  </si>
  <si>
    <t>7820027796</t>
  </si>
  <si>
    <t>28191592</t>
  </si>
  <si>
    <t>СПб ГБУЗ "Городская больница им. Н.А.Семашко"</t>
  </si>
  <si>
    <t>7820013553</t>
  </si>
  <si>
    <t>26322166</t>
  </si>
  <si>
    <t>СПб ГУП "Петербургский метрополитен"</t>
  </si>
  <si>
    <t>7830000970</t>
  </si>
  <si>
    <t>27995413</t>
  </si>
  <si>
    <t>Университет ИТМО</t>
  </si>
  <si>
    <t>7813045547</t>
  </si>
  <si>
    <t>26491915</t>
  </si>
  <si>
    <t>ФГАОУ ВО "СПбПУ"</t>
  </si>
  <si>
    <t>7804040077</t>
  </si>
  <si>
    <t>28454949</t>
  </si>
  <si>
    <t>ФГБНУ ВИР</t>
  </si>
  <si>
    <t>7812029408</t>
  </si>
  <si>
    <t>26361089</t>
  </si>
  <si>
    <t>ФГБОУ ВО "ГУМРФ имени адмирала С.О. Макарова"</t>
  </si>
  <si>
    <t>7805029012</t>
  </si>
  <si>
    <t>26422396</t>
  </si>
  <si>
    <t>ФГБОУ ВО ПГУПС</t>
  </si>
  <si>
    <t>7812009592</t>
  </si>
  <si>
    <t>28934747</t>
  </si>
  <si>
    <t>ФГБОУ ВПО "СПбГАВМ"</t>
  </si>
  <si>
    <t>7810232965</t>
  </si>
  <si>
    <t>30903763</t>
  </si>
  <si>
    <t>ФГБУ "ЦЖКУ" МИНОБОРОНЫ РОССИИ</t>
  </si>
  <si>
    <t>7729314745</t>
  </si>
  <si>
    <t>770101001</t>
  </si>
  <si>
    <t>28436138</t>
  </si>
  <si>
    <t>ФГБУН Институт прикладной астрономии Российской академии наук</t>
  </si>
  <si>
    <t>7813045434</t>
  </si>
  <si>
    <t>28485475</t>
  </si>
  <si>
    <t>ФГКУ "Невский СЦ МЧС России"</t>
  </si>
  <si>
    <t>7817002417</t>
  </si>
  <si>
    <t>28508026</t>
  </si>
  <si>
    <t>ФКОУ ДПО Санкт-Петербургский ИПКР ФСИН России</t>
  </si>
  <si>
    <t>7820016787</t>
  </si>
  <si>
    <t>05-12-2023 00:00:00</t>
  </si>
  <si>
    <t>26361128</t>
  </si>
  <si>
    <t>Филиал "Северо-Западная ТЭЦ им. А.Г.Бориса" АО "Интер РАО - Электрогенерация"</t>
  </si>
  <si>
    <t>7704784450</t>
  </si>
  <si>
    <t>781443001</t>
  </si>
  <si>
    <t>30941480</t>
  </si>
  <si>
    <t>Филиал ФГБУ "ЦЖКУ" Минобороны России по ЗВО</t>
  </si>
  <si>
    <t>26422522</t>
  </si>
  <si>
    <t>АО "ГСР Водоканал"</t>
  </si>
  <si>
    <t>7817309159</t>
  </si>
  <si>
    <t>26614854</t>
  </si>
  <si>
    <t>ЗАО "Агентство "Шушары"</t>
  </si>
  <si>
    <t>7820016970</t>
  </si>
  <si>
    <t>26627186</t>
  </si>
  <si>
    <t>ОАО "РЖД" (Октябрьская железная дорога - филиал ОАО "РЖД")</t>
  </si>
  <si>
    <t>783402001</t>
  </si>
  <si>
    <t>23-11-2010 00:00:00</t>
  </si>
  <si>
    <t>31221988</t>
  </si>
  <si>
    <t>ООО "ВОДОКАНАЛ ЮЖНЫЙ"</t>
  </si>
  <si>
    <t>7820058378</t>
  </si>
  <si>
    <t>31110004</t>
  </si>
  <si>
    <t>ООО "ДОЗ № 1"</t>
  </si>
  <si>
    <t>7816337717</t>
  </si>
  <si>
    <t>31084932</t>
  </si>
  <si>
    <t>ООО "Колпинский промышленный водоканал"</t>
  </si>
  <si>
    <t>7817076850</t>
  </si>
  <si>
    <t>26868131</t>
  </si>
  <si>
    <t>ООО "Коммунальное хозяйство"</t>
  </si>
  <si>
    <t>7817056892</t>
  </si>
  <si>
    <t>27513672</t>
  </si>
  <si>
    <t>ООО "ЭКОЛ"</t>
  </si>
  <si>
    <t>7801160351</t>
  </si>
  <si>
    <t>28505728</t>
  </si>
  <si>
    <t>СПб ГБСУСО "Психоневрологический интернат №6"</t>
  </si>
  <si>
    <t>7827661874</t>
  </si>
  <si>
    <t>26380420</t>
  </si>
  <si>
    <t>Филиал "Невский водопровод" АО "ЛОКС"</t>
  </si>
  <si>
    <t>4705029366</t>
  </si>
  <si>
    <t>781703001</t>
  </si>
  <si>
    <t>27976424</t>
  </si>
  <si>
    <t>АО "ЭКОПРОМ"</t>
  </si>
  <si>
    <t>7816035716</t>
  </si>
  <si>
    <t>28492986</t>
  </si>
  <si>
    <t>ГБОУ "Балтийский берег"</t>
  </si>
  <si>
    <t>7825465497</t>
  </si>
  <si>
    <t>28799275</t>
  </si>
  <si>
    <t>ООО "СК-СИГМА"</t>
  </si>
  <si>
    <t>7801583967</t>
  </si>
  <si>
    <t>28508632</t>
  </si>
  <si>
    <t>ООО "Энергоснаб - Красные Зори"</t>
  </si>
  <si>
    <t>7819025321</t>
  </si>
  <si>
    <t>31348228</t>
  </si>
  <si>
    <t>OOO "Топливная экологическая компания"</t>
  </si>
  <si>
    <t>7805523775</t>
  </si>
  <si>
    <t>31412321</t>
  </si>
  <si>
    <t>АО "АВТОПАРК №1 "СПЕЦТРАНС"</t>
  </si>
  <si>
    <t>7830002705</t>
  </si>
  <si>
    <t>31471870</t>
  </si>
  <si>
    <t>АО "Невский экологический оператор"</t>
  </si>
  <si>
    <t>7804678913</t>
  </si>
  <si>
    <t>26556065</t>
  </si>
  <si>
    <t>АО "Управляющая компания по обращению с отходами в Ленинградской области</t>
  </si>
  <si>
    <t>4704077078</t>
  </si>
  <si>
    <t>470401001</t>
  </si>
  <si>
    <t>26382441</t>
  </si>
  <si>
    <t>ООО "АВТО-БЕРКУТ"</t>
  </si>
  <si>
    <t>4710010508</t>
  </si>
  <si>
    <t>471001001</t>
  </si>
  <si>
    <t>31412204</t>
  </si>
  <si>
    <t>ООО "НОВЫЙ СВЕТ.ЭКО"</t>
  </si>
  <si>
    <t>7810345944</t>
  </si>
  <si>
    <t>28459203</t>
  </si>
  <si>
    <t>ООО "Новый Свет-ЭКО"</t>
  </si>
  <si>
    <t>4719017995</t>
  </si>
  <si>
    <t>26382433</t>
  </si>
  <si>
    <t>ООО "Полигон ТБО"</t>
  </si>
  <si>
    <t>4703037467</t>
  </si>
  <si>
    <t>470301001</t>
  </si>
  <si>
    <t>26382436</t>
  </si>
  <si>
    <t>ООО "РАСЭМ"</t>
  </si>
  <si>
    <t>4704054105</t>
  </si>
  <si>
    <t>31701309</t>
  </si>
  <si>
    <t>ООО "Ресурс АТЭ"</t>
  </si>
  <si>
    <t>7810900796</t>
  </si>
  <si>
    <t>03-12-2014 00:00:00</t>
  </si>
  <si>
    <t>31251286</t>
  </si>
  <si>
    <t>ООО "Эко Лэнд"</t>
  </si>
  <si>
    <t>7839031482</t>
  </si>
  <si>
    <t>31022717</t>
  </si>
  <si>
    <t>ООО "Эко ПЛАНТ"</t>
  </si>
  <si>
    <t>4716042665</t>
  </si>
  <si>
    <t>471601001</t>
  </si>
  <si>
    <t>31557668</t>
  </si>
  <si>
    <t>ООО "Эковаст"</t>
  </si>
  <si>
    <t>7811651260</t>
  </si>
  <si>
    <t>06-06-2017 00:00:00</t>
  </si>
  <si>
    <t>26422737</t>
  </si>
  <si>
    <t>СПб ГУП "Завод МПБО-2"</t>
  </si>
  <si>
    <t>7806044006</t>
  </si>
  <si>
    <t>NSRF</t>
  </si>
  <si>
    <t>MR_NAME</t>
  </si>
  <si>
    <t>OKTMO_MR_NAME</t>
  </si>
  <si>
    <t>MO_NAME</t>
  </si>
  <si>
    <t>OKTMO_NAME</t>
  </si>
  <si>
    <t>TYPE</t>
  </si>
  <si>
    <t>MR_ID</t>
  </si>
  <si>
    <t>город Зеленогорск</t>
  </si>
  <si>
    <t>40361000</t>
  </si>
  <si>
    <t>внутригородская территория (внутригородское муниципальное образование) города федерального значения</t>
  </si>
  <si>
    <t>город Колпино</t>
  </si>
  <si>
    <t>40342000</t>
  </si>
  <si>
    <t>город Красное Село</t>
  </si>
  <si>
    <t>40353000</t>
  </si>
  <si>
    <t>город Кронштадт</t>
  </si>
  <si>
    <t>40360000</t>
  </si>
  <si>
    <t>город Ломоносов</t>
  </si>
  <si>
    <t>40372000</t>
  </si>
  <si>
    <t>город Павловск</t>
  </si>
  <si>
    <t>40387000</t>
  </si>
  <si>
    <t>город Петергоф</t>
  </si>
  <si>
    <t>40395000</t>
  </si>
  <si>
    <t>город Пушкин</t>
  </si>
  <si>
    <t>40397000</t>
  </si>
  <si>
    <t>город федерального значения</t>
  </si>
  <si>
    <t>город Сестрорецк</t>
  </si>
  <si>
    <t>40362000</t>
  </si>
  <si>
    <t>муниципальный округ № 15</t>
  </si>
  <si>
    <t>40317000</t>
  </si>
  <si>
    <t>муниципальный округ № 21</t>
  </si>
  <si>
    <t>40331000</t>
  </si>
  <si>
    <t>муниципальный округ № 54</t>
  </si>
  <si>
    <t>40383000</t>
  </si>
  <si>
    <t>муниципальный округ № 65</t>
  </si>
  <si>
    <t>40322000</t>
  </si>
  <si>
    <t>муниципальный округ № 7</t>
  </si>
  <si>
    <t>40307000</t>
  </si>
  <si>
    <t>муниципальный округ № 72</t>
  </si>
  <si>
    <t>40903000</t>
  </si>
  <si>
    <t>внутригородская территория города федерального значения</t>
  </si>
  <si>
    <t>муниципальный округ № 78</t>
  </si>
  <si>
    <t>40909000</t>
  </si>
  <si>
    <t>муниципальный округ Автово</t>
  </si>
  <si>
    <t>40338000</t>
  </si>
  <si>
    <t>муниципальный округ Адмиралтейский округ</t>
  </si>
  <si>
    <t>40303000</t>
  </si>
  <si>
    <t>муниципальный округ Академическое</t>
  </si>
  <si>
    <t>40329000</t>
  </si>
  <si>
    <t>муниципальный округ Александровский</t>
  </si>
  <si>
    <t>40906000</t>
  </si>
  <si>
    <t>муниципальный округ Аптекарский остров</t>
  </si>
  <si>
    <t>40392000</t>
  </si>
  <si>
    <t>муниципальный округ Балканский</t>
  </si>
  <si>
    <t>40907000</t>
  </si>
  <si>
    <t>муниципальный округ Большая Охта</t>
  </si>
  <si>
    <t>40349000</t>
  </si>
  <si>
    <t>муниципальный округ Васильевский</t>
  </si>
  <si>
    <t>40308000</t>
  </si>
  <si>
    <t>муниципальный округ Введенский</t>
  </si>
  <si>
    <t>40389000</t>
  </si>
  <si>
    <t>муниципальный округ Владимирский округ</t>
  </si>
  <si>
    <t>40913000</t>
  </si>
  <si>
    <t>муниципальный округ Волковское</t>
  </si>
  <si>
    <t>40902000</t>
  </si>
  <si>
    <t>муниципальный округ Гавань</t>
  </si>
  <si>
    <t>40309000</t>
  </si>
  <si>
    <t>муниципальный округ Гагаринское</t>
  </si>
  <si>
    <t>40374000</t>
  </si>
  <si>
    <t>муниципальный округ Георгиевский</t>
  </si>
  <si>
    <t>40905000</t>
  </si>
  <si>
    <t>муниципальный округ Горелово</t>
  </si>
  <si>
    <t>40359000</t>
  </si>
  <si>
    <t>муниципальный округ Гражданка</t>
  </si>
  <si>
    <t>40328000</t>
  </si>
  <si>
    <t>муниципальный округ Дачное</t>
  </si>
  <si>
    <t>40337000</t>
  </si>
  <si>
    <t>муниципальный округ Дворцовый округ</t>
  </si>
  <si>
    <t>40908000</t>
  </si>
  <si>
    <t>муниципальный округ Екатерингофский</t>
  </si>
  <si>
    <t>40306000</t>
  </si>
  <si>
    <t>муниципальный округ Звездное</t>
  </si>
  <si>
    <t>40377000</t>
  </si>
  <si>
    <t>муниципальный округ Ивановский</t>
  </si>
  <si>
    <t>40379000</t>
  </si>
  <si>
    <t>муниципальный округ Измайловское</t>
  </si>
  <si>
    <t>40305000</t>
  </si>
  <si>
    <t>муниципальный округ Княжево</t>
  </si>
  <si>
    <t>40335000</t>
  </si>
  <si>
    <t>муниципальный округ Коломна</t>
  </si>
  <si>
    <t>40301000</t>
  </si>
  <si>
    <t>муниципальный округ Коломяги</t>
  </si>
  <si>
    <t>40327000</t>
  </si>
  <si>
    <t>муниципальный округ Комендантский аэродром</t>
  </si>
  <si>
    <t>40324000</t>
  </si>
  <si>
    <t>муниципальный округ Константиновское</t>
  </si>
  <si>
    <t>40358000</t>
  </si>
  <si>
    <t>муниципальный округ Красненькая речка</t>
  </si>
  <si>
    <t>40340000</t>
  </si>
  <si>
    <t>муниципальный округ Кронверкское</t>
  </si>
  <si>
    <t>40390000</t>
  </si>
  <si>
    <t>муниципальный округ Купчино</t>
  </si>
  <si>
    <t>40904000</t>
  </si>
  <si>
    <t>муниципальный округ Ланское</t>
  </si>
  <si>
    <t>40323000</t>
  </si>
  <si>
    <t>муниципальный округ Лахта-Ольгино</t>
  </si>
  <si>
    <t>40321000</t>
  </si>
  <si>
    <t>муниципальный округ Лиговка-Ямская</t>
  </si>
  <si>
    <t>40912000</t>
  </si>
  <si>
    <t>муниципальный округ Литейный округ</t>
  </si>
  <si>
    <t>40910000</t>
  </si>
  <si>
    <t>муниципальный округ Малая Охта</t>
  </si>
  <si>
    <t>40350000</t>
  </si>
  <si>
    <t>муниципальный округ Морские ворота</t>
  </si>
  <si>
    <t>40341000</t>
  </si>
  <si>
    <t>муниципальный округ Морской</t>
  </si>
  <si>
    <t>40310000</t>
  </si>
  <si>
    <t>муниципальный округ Московская застава</t>
  </si>
  <si>
    <t>40373000</t>
  </si>
  <si>
    <t>муниципальный округ Нарвский округ</t>
  </si>
  <si>
    <t>40339000</t>
  </si>
  <si>
    <t>муниципальный округ Народный</t>
  </si>
  <si>
    <t>40382000</t>
  </si>
  <si>
    <t>муниципальный округ Невская застава</t>
  </si>
  <si>
    <t>40378000</t>
  </si>
  <si>
    <t>муниципальный округ Невский округ</t>
  </si>
  <si>
    <t>40384000</t>
  </si>
  <si>
    <t>муниципальный округ Новоизмайловское</t>
  </si>
  <si>
    <t>40375000</t>
  </si>
  <si>
    <t>60</t>
  </si>
  <si>
    <t>муниципальный округ Обуховский</t>
  </si>
  <si>
    <t>40380000</t>
  </si>
  <si>
    <t>61</t>
  </si>
  <si>
    <t>муниципальный округ Озеро Долгое</t>
  </si>
  <si>
    <t>40325000</t>
  </si>
  <si>
    <t>62</t>
  </si>
  <si>
    <t>муниципальный округ Оккервиль</t>
  </si>
  <si>
    <t>40385000</t>
  </si>
  <si>
    <t>63</t>
  </si>
  <si>
    <t>муниципальный округ Остров Декабристов</t>
  </si>
  <si>
    <t>40311000</t>
  </si>
  <si>
    <t>64</t>
  </si>
  <si>
    <t>муниципальный округ Пискаревка</t>
  </si>
  <si>
    <t>40332000</t>
  </si>
  <si>
    <t>65</t>
  </si>
  <si>
    <t>муниципальный округ Полюстрово</t>
  </si>
  <si>
    <t>40348000</t>
  </si>
  <si>
    <t>муниципальный округ Пороховые</t>
  </si>
  <si>
    <t>40351000</t>
  </si>
  <si>
    <t>67</t>
  </si>
  <si>
    <t>муниципальный округ Посадский</t>
  </si>
  <si>
    <t>40391000</t>
  </si>
  <si>
    <t>муниципальный округ Правобережный</t>
  </si>
  <si>
    <t>40386000</t>
  </si>
  <si>
    <t>69</t>
  </si>
  <si>
    <t>муниципальный округ Прометей</t>
  </si>
  <si>
    <t>40334000</t>
  </si>
  <si>
    <t>70</t>
  </si>
  <si>
    <t>муниципальный округ Пулковский меридиан</t>
  </si>
  <si>
    <t>40376000</t>
  </si>
  <si>
    <t>71</t>
  </si>
  <si>
    <t>муниципальный округ Ржевка</t>
  </si>
  <si>
    <t>40352000</t>
  </si>
  <si>
    <t>72</t>
  </si>
  <si>
    <t>муниципальный округ Рыбацкое</t>
  </si>
  <si>
    <t>40381000</t>
  </si>
  <si>
    <t>73</t>
  </si>
  <si>
    <t>муниципальный округ Сампсониевское</t>
  </si>
  <si>
    <t>40314000</t>
  </si>
  <si>
    <t>74</t>
  </si>
  <si>
    <t>муниципальный округ Светлановское</t>
  </si>
  <si>
    <t>40315000</t>
  </si>
  <si>
    <t>75</t>
  </si>
  <si>
    <t>муниципальный округ Северный</t>
  </si>
  <si>
    <t>40333000</t>
  </si>
  <si>
    <t>76</t>
  </si>
  <si>
    <t>муниципальный округ Семеновский</t>
  </si>
  <si>
    <t>40304000</t>
  </si>
  <si>
    <t>77</t>
  </si>
  <si>
    <t>муниципальный округ Сенной округ</t>
  </si>
  <si>
    <t>40302000</t>
  </si>
  <si>
    <t>78</t>
  </si>
  <si>
    <t>муниципальный округ Сергиевское</t>
  </si>
  <si>
    <t>40318000</t>
  </si>
  <si>
    <t>79</t>
  </si>
  <si>
    <t>муниципальный округ Смольнинское</t>
  </si>
  <si>
    <t>40911000</t>
  </si>
  <si>
    <t>80</t>
  </si>
  <si>
    <t>муниципальный округ Сосновая поляна</t>
  </si>
  <si>
    <t>40356000</t>
  </si>
  <si>
    <t>81</t>
  </si>
  <si>
    <t>муниципальный округ Сосновское</t>
  </si>
  <si>
    <t>40316000</t>
  </si>
  <si>
    <t>82</t>
  </si>
  <si>
    <t>муниципальный округ Ульянка</t>
  </si>
  <si>
    <t>40336000</t>
  </si>
  <si>
    <t>83</t>
  </si>
  <si>
    <t>муниципальный округ Урицк</t>
  </si>
  <si>
    <t>40357000</t>
  </si>
  <si>
    <t>84</t>
  </si>
  <si>
    <t>муниципальный округ Финляндский округ</t>
  </si>
  <si>
    <t>40330000</t>
  </si>
  <si>
    <t>85</t>
  </si>
  <si>
    <t>муниципальный округ Чкаловское</t>
  </si>
  <si>
    <t>40394000</t>
  </si>
  <si>
    <t>86</t>
  </si>
  <si>
    <t>муниципальный округ Шувалово-Озерки</t>
  </si>
  <si>
    <t>40319000</t>
  </si>
  <si>
    <t>87</t>
  </si>
  <si>
    <t>муниципальный округ Юго-Запад</t>
  </si>
  <si>
    <t>40354000</t>
  </si>
  <si>
    <t>88</t>
  </si>
  <si>
    <t>муниципальный округ Южно-Приморский</t>
  </si>
  <si>
    <t>40355000</t>
  </si>
  <si>
    <t>89</t>
  </si>
  <si>
    <t>муниципальный округ Юнтолово</t>
  </si>
  <si>
    <t>40326000</t>
  </si>
  <si>
    <t>90</t>
  </si>
  <si>
    <t>муниципальный округ округ Петровский</t>
  </si>
  <si>
    <t>40393000</t>
  </si>
  <si>
    <t>91</t>
  </si>
  <si>
    <t>поселок Александровская</t>
  </si>
  <si>
    <t>40398000</t>
  </si>
  <si>
    <t>92</t>
  </si>
  <si>
    <t>поселок Белоостров</t>
  </si>
  <si>
    <t>40363000</t>
  </si>
  <si>
    <t>93</t>
  </si>
  <si>
    <t>поселок Комарово</t>
  </si>
  <si>
    <t>40364000</t>
  </si>
  <si>
    <t>94</t>
  </si>
  <si>
    <t>поселок Левашово</t>
  </si>
  <si>
    <t>40312000</t>
  </si>
  <si>
    <t>95</t>
  </si>
  <si>
    <t>поселок Лисий Нос</t>
  </si>
  <si>
    <t>40320000</t>
  </si>
  <si>
    <t>96</t>
  </si>
  <si>
    <t>поселок Металлострой</t>
  </si>
  <si>
    <t>40343000</t>
  </si>
  <si>
    <t>97</t>
  </si>
  <si>
    <t>поселок Молодежное</t>
  </si>
  <si>
    <t>40365000</t>
  </si>
  <si>
    <t>98</t>
  </si>
  <si>
    <t>поселок Парголово</t>
  </si>
  <si>
    <t>40313000</t>
  </si>
  <si>
    <t>99</t>
  </si>
  <si>
    <t>поселок Песочный</t>
  </si>
  <si>
    <t>40366000</t>
  </si>
  <si>
    <t>100</t>
  </si>
  <si>
    <t>поселок Петро-Славянка</t>
  </si>
  <si>
    <t>40344000</t>
  </si>
  <si>
    <t>101</t>
  </si>
  <si>
    <t>поселок Понтонный</t>
  </si>
  <si>
    <t>40345000</t>
  </si>
  <si>
    <t>102</t>
  </si>
  <si>
    <t>поселок Репино</t>
  </si>
  <si>
    <t>40367000</t>
  </si>
  <si>
    <t>103</t>
  </si>
  <si>
    <t>поселок Саперный</t>
  </si>
  <si>
    <t>40346000</t>
  </si>
  <si>
    <t>104</t>
  </si>
  <si>
    <t>поселок Серово</t>
  </si>
  <si>
    <t>40368000</t>
  </si>
  <si>
    <t>105</t>
  </si>
  <si>
    <t>поселок Смолячково</t>
  </si>
  <si>
    <t>40369000</t>
  </si>
  <si>
    <t>106</t>
  </si>
  <si>
    <t>поселок Солнечное</t>
  </si>
  <si>
    <t>40370000</t>
  </si>
  <si>
    <t>107</t>
  </si>
  <si>
    <t>поселок Стрельна</t>
  </si>
  <si>
    <t>40396000</t>
  </si>
  <si>
    <t>108</t>
  </si>
  <si>
    <t>поселок Тярлево</t>
  </si>
  <si>
    <t>40388000</t>
  </si>
  <si>
    <t>109</t>
  </si>
  <si>
    <t>поселок Усть-Ижора</t>
  </si>
  <si>
    <t>40347000</t>
  </si>
  <si>
    <t>110</t>
  </si>
  <si>
    <t>поселок Ушково</t>
  </si>
  <si>
    <t>40371000</t>
  </si>
  <si>
    <t>111</t>
  </si>
  <si>
    <t>поселок Шушары</t>
  </si>
  <si>
    <t>40901000</t>
  </si>
  <si>
    <t>112</t>
  </si>
  <si>
    <t>NUMBER_POINT</t>
  </si>
  <si>
    <t>L_NAME</t>
  </si>
  <si>
    <t>L_START_DATE</t>
  </si>
  <si>
    <t>L_END_DATE</t>
  </si>
  <si>
    <t>Инвестиционная программа ООО "Генерирующая компания "Обуховоэнерго" на 2018-2020 годы</t>
  </si>
  <si>
    <t>01.01.2018</t>
  </si>
  <si>
    <t>31.12.2020</t>
  </si>
  <si>
    <t>Инвестиционная программа от 08.12.2023 ООО "ИТЭ" в сфере теплоснабжения по комплексному развитию систем теплоснабжения на 2024 год</t>
  </si>
  <si>
    <t>01.01.2024</t>
  </si>
  <si>
    <t>31.12.2024</t>
  </si>
  <si>
    <t>Инвестиционная программа от 09.11.2018 АО "Юго-Западная ТЭЦ" в сфере теплоснабжения по комплексному развитию систем теплоснабжения на 2019-2023 годы</t>
  </si>
  <si>
    <t>01.01.2019</t>
  </si>
  <si>
    <t>31.12.2023</t>
  </si>
  <si>
    <t>Инвестиционная программа от 12.11.2018 АО "ГСР ТЭЦ" в сфере теплоснабжения по комплексному развитию системы теплоснабжения на 2019-2023 годы</t>
  </si>
  <si>
    <t>Инвестиционная программа от 13.10.2023 ООО "ТСК" в сфере теплоснабжения по реконструкции систем инженерной инфраструктуры на 2024-2025 годы</t>
  </si>
  <si>
    <t>31.12.2025</t>
  </si>
  <si>
    <t>Инвестиционная программа от 14.12.2018 АО "Теплосеть Санкт-Петербурга" в сфере теплоснабжения по комплексному развитию систем теплоснабжения на 2019-2023 годы</t>
  </si>
  <si>
    <t>Инвестиционная программа от 14.12.2018 ГУП "ТЭК СПб" в сфере теплоснабжения по комплексному развитию систем теплоснабжения на 2019-2023 годы</t>
  </si>
  <si>
    <t>Инвестиционная программа от 14.12.2018 ООО "Петербургтеплоэнерго" в сфере теплоснабжения по комплексному развитию системы теплоснабжения на 2019-2023 годы</t>
  </si>
  <si>
    <t>Инвестиционная программа от 14.12.2018 ПАО "ТГК-1" филиал "Невский" в сфере теплоснабжения по комплексному развитию систем теплоснабжения на 2019-2023 годы</t>
  </si>
  <si>
    <t>Инвестиционная программа от 19.11.2021 ООО "ГЕНЕРИРУЮЩАЯ КОМПАНИЯ "ОБУХОВОЭНЕРГО" в сфере теплоснабжения по комплексному развитию систем теплоснабжения на 2022-2025 годы</t>
  </si>
  <si>
    <t>01.01.2022</t>
  </si>
  <si>
    <t>Инвестиционная программа от 30.10.2019 ООО "ТЕПЛОЭНЕРГО" в сфере теплоснабжения по модернизации, реконструкции и техническому перевооружению котельных и тепловых сетей на 2020-2024 годы</t>
  </si>
  <si>
    <t>01.01.2020</t>
  </si>
  <si>
    <t>Инвестиционная программа от 30.10.2020 ООО "ТСК" в сфере теплоснабжения по реконструкции объектов тепловой сети на 2021 год</t>
  </si>
  <si>
    <t>01.01.2021</t>
  </si>
  <si>
    <t>31.12.2021</t>
  </si>
  <si>
    <t>Инвестиционная программа от 30.10.2023 АО "ГСР ТЭЦ" в сфере теплоснабжения по комплексному развитию системы теплоснабжения на 2024-2027 годы</t>
  </si>
  <si>
    <t>31.12.2027</t>
  </si>
  <si>
    <t>Инвестиционная программа от 30.10.2023 АО "ГСР ТЭЦ" в сфере теплоснабжения по комплексному развитию системы теплоснабжения на 2024-2028 годы</t>
  </si>
  <si>
    <t>31.12.2028</t>
  </si>
  <si>
    <t>Инвестиционная программа от 30.10.2023 АО "Теплосеть Санкт-Петербурга" в сфере теплоснабжения по комплексному развитию систем теплоснабжения на 2024-2028 годы</t>
  </si>
  <si>
    <t>Инвестиционная программа от 30.10.2023 АО "Юго-Западная ТЭЦ" в сфере теплоснабжения по развитию и модернизации системы теплоснабжения на 2024-2028 годы</t>
  </si>
  <si>
    <t>Инвестиционная программа от 30.10.2023 ГУП "ТЭК СПб" в сфере теплоснабжения по комплексному развитию систем теплоснабжения на 2024-2028 годы</t>
  </si>
  <si>
    <t>Инвестиционная программа от 30.10.2023 ООО "Петербургтеплоэнерго" в сфере теплоснабжения по комплексному развитию систем теплоснабжения на 2024-2028 годы</t>
  </si>
  <si>
    <t>Инвестиционная программа от 30.10.2023 ПАО "ТГК-1" филиал "Невский" в сфере теплоснабжения по комплексному развитию систем теплоснабжения на 2024-2028 годы</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</si>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</sst>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97" formatCode="000000"/>
    <numFmt numFmtId="198" formatCode="#,##0.000"/>
    <numFmt numFmtId="199" formatCode="#,##0.0000"/>
    <numFmt numFmtId="200"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4110">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Font="0" applyNumberFormat="1">
      <alignment vertical="top"/>
    </xf>
    <xf numFmtId="41" fontId="6" fillId="0" borderId="0" xfId="29" applyFont="0" applyNumberFormat="1">
      <alignment vertical="top"/>
    </xf>
    <xf numFmtId="44" fontId="6" fillId="0" borderId="0" xfId="30" applyFont="0" applyNumberFormat="1">
      <alignment vertical="top"/>
    </xf>
    <xf numFmtId="42"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ont="0" applyFill="1" applyBorder="1">
      <alignment vertical="top"/>
    </xf>
    <xf numFmtId="0" fontId="15" fillId="27" borderId="8" xfId="42" applyFont="1" applyFill="1" applyBorder="1">
      <alignment vertical="top"/>
    </xf>
    <xf numFmtId="9" fontId="6" fillId="0" borderId="0" xfId="43" applyFont="0"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0" fontId="19" fillId="0" borderId="0" xfId="0" applyFont="1">
      <alignment vertical="top" wrapText="1"/>
    </xf>
    <xf numFmtId="49" fontId="19" fillId="0" borderId="0" xfId="0" applyFont="1" applyNumberFormat="1">
      <alignment vertical="top"/>
    </xf>
    <xf numFmtId="49" fontId="19" fillId="33" borderId="10" xfId="0" applyFont="1" applyFill="1" applyBorder="1" applyNumberFormat="1">
      <alignment horizontal="center" vertical="top"/>
    </xf>
    <xf numFmtId="0" fontId="19" fillId="0" borderId="0" xfId="0" applyFont="1"/>
    <xf numFmtId="0" fontId="19" fillId="34" borderId="0" xfId="0" applyFont="1" applyFill="1"/>
    <xf numFmtId="0" fontId="20" fillId="0" borderId="0" xfId="0" applyFont="1">
      <alignment vertical="center" wrapText="1"/>
    </xf>
    <xf numFmtId="0" fontId="21" fillId="0" borderId="0" xfId="0" applyFont="1">
      <alignment vertical="center" wrapText="1"/>
    </xf>
    <xf numFmtId="0" fontId="19" fillId="34" borderId="0" xfId="0" applyFont="1" applyFill="1">
      <alignment vertical="center" wrapText="1"/>
    </xf>
    <xf numFmtId="0" fontId="19" fillId="0" borderId="0" xfId="0" applyFont="1">
      <alignment vertical="center" wrapText="1"/>
    </xf>
    <xf numFmtId="0" fontId="22" fillId="34" borderId="0" xfId="0" applyFont="1" applyFill="1">
      <alignment vertical="center" wrapText="1"/>
    </xf>
    <xf numFmtId="0" fontId="19" fillId="34" borderId="0" xfId="0" applyFont="1" applyFill="1">
      <alignment horizontal="right" vertical="center" wrapText="1" indent="1"/>
    </xf>
    <xf numFmtId="0" fontId="19" fillId="34" borderId="0" xfId="0" applyFont="1" applyFill="1">
      <alignment horizontal="center" vertical="center" wrapText="1"/>
    </xf>
    <xf numFmtId="0" fontId="21" fillId="0" borderId="0" xfId="0" applyFont="1">
      <alignment horizontal="center" vertical="center" wrapText="1"/>
    </xf>
    <xf numFmtId="0" fontId="23" fillId="34" borderId="0" xfId="0" applyFont="1" applyFill="1">
      <alignment horizontal="center" vertical="center" wrapText="1"/>
    </xf>
    <xf numFmtId="0" fontId="19" fillId="0" borderId="0" xfId="0" applyFon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lignment vertical="center" wrapText="1"/>
    </xf>
    <xf numFmtId="0" fontId="19" fillId="34" borderId="0" xfId="0" applyFont="1" applyFill="1">
      <alignment vertical="center" wrapText="1"/>
    </xf>
    <xf numFmtId="0" fontId="19" fillId="34" borderId="0" xfId="0" applyFont="1" applyFill="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0" fontId="25" fillId="34" borderId="0" xfId="0" applyFont="1" applyFill="1">
      <alignment horizontal="center" vertical="center" wrapText="1"/>
    </xf>
    <xf numFmtId="0" fontId="25" fillId="0" borderId="0" xfId="0" applyFont="1">
      <alignment horizontal="center" vertical="center"/>
    </xf>
    <xf numFmtId="0" fontId="25" fillId="34" borderId="0" xfId="0" applyFont="1" applyFill="1">
      <alignment horizontal="center" vertical="center"/>
    </xf>
    <xf numFmtId="49" fontId="26" fillId="0" borderId="11" xfId="0" applyFont="1" applyBorder="1" applyNumberFormat="1">
      <alignment vertical="top" wrapText="1"/>
    </xf>
    <xf numFmtId="0" fontId="0" fillId="0" borderId="11" xfId="0" applyFont="1" applyBorder="1">
      <alignment vertical="top" wrapText="1"/>
    </xf>
    <xf numFmtId="0" fontId="27" fillId="0" borderId="0" xfId="0" applyFont="1"/>
    <xf numFmtId="0" fontId="19" fillId="34" borderId="0" xfId="0" applyFont="1" applyFill="1">
      <alignment horizontal="center" vertical="center" wrapText="1"/>
    </xf>
    <xf numFmtId="0" fontId="28" fillId="34" borderId="0" xfId="0" applyFont="1" applyFill="1">
      <alignment vertical="center" wrapText="1"/>
    </xf>
    <xf numFmtId="0" fontId="28" fillId="0" borderId="0" xfId="0" applyFont="1">
      <alignment vertical="center" wrapText="1"/>
    </xf>
    <xf numFmtId="0" fontId="20" fillId="0" borderId="0" xfId="0" applyFont="1">
      <alignment horizontal="left" vertical="center" wrapText="1"/>
    </xf>
    <xf numFmtId="49" fontId="20" fillId="0" borderId="0" xfId="0" applyFont="1" applyNumberFormat="1">
      <alignment horizontal="left" vertical="center" wrapText="1"/>
    </xf>
    <xf numFmtId="0" fontId="0" fillId="0" borderId="0" xfId="0" applyFon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lignment vertical="center" wrapText="1"/>
    </xf>
    <xf numFmtId="0" fontId="0" fillId="0" borderId="0" xfId="0" applyFont="1">
      <alignment vertical="center"/>
    </xf>
    <xf numFmtId="0" fontId="19" fillId="34" borderId="12" xfId="0" applyFont="1" applyFill="1" applyBorder="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lignment horizontal="center" vertical="center" wrapText="1"/>
    </xf>
    <xf numFmtId="0" fontId="19" fillId="36" borderId="14" xfId="0" applyFont="1" applyFill="1" applyBorder="1">
      <alignment vertical="center" wrapText="1"/>
    </xf>
    <xf numFmtId="0" fontId="19" fillId="0" borderId="12" xfId="0" applyFont="1" applyBorder="1">
      <alignment horizontal="center" vertical="center" wrapText="1"/>
    </xf>
    <xf numFmtId="0" fontId="30" fillId="0" borderId="0" xfId="0" applyFont="1">
      <alignment vertical="center"/>
    </xf>
    <xf numFmtId="49" fontId="19" fillId="0" borderId="12" xfId="0" applyFont="1" applyBorder="1" applyNumberFormat="1">
      <alignment horizontal="center" vertical="center" wrapText="1"/>
    </xf>
    <xf numFmtId="0" fontId="19" fillId="34" borderId="12" xfId="0" applyFont="1" applyFill="1" applyBorder="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lignment vertical="center" wrapText="1"/>
    </xf>
    <xf numFmtId="0" fontId="31" fillId="0" borderId="0" xfId="0" applyFon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xf numFmtId="0" fontId="32" fillId="34" borderId="0" xfId="0" applyFont="1" applyFill="1">
      <alignment horizontal="center" vertical="center" wrapText="1"/>
    </xf>
    <xf numFmtId="0" fontId="20" fillId="34" borderId="0" xfId="0" applyFont="1" applyFill="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lignment vertical="center"/>
    </xf>
    <xf numFmtId="0" fontId="0" fillId="0" borderId="0" xfId="0" applyFon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lignment horizontal="center" vertical="center" wrapText="1"/>
    </xf>
    <xf numFmtId="49" fontId="19" fillId="0" borderId="0" xfId="0" applyFont="1" applyNumberFormat="1">
      <alignment vertical="top"/>
    </xf>
    <xf numFmtId="0" fontId="0" fillId="0" borderId="0" xfId="0" applyFont="1">
      <alignment vertical="center"/>
    </xf>
    <xf numFmtId="0" fontId="35" fillId="0" borderId="0" xfId="0" applyFont="1">
      <alignment vertical="center" wrapText="1"/>
    </xf>
    <xf numFmtId="49" fontId="19" fillId="0" borderId="16" xfId="0" applyFont="1" applyBorder="1" applyNumberFormat="1">
      <alignment vertical="top"/>
    </xf>
    <xf numFmtId="0" fontId="27" fillId="0" borderId="0" xfId="0" applyFont="1"/>
    <xf numFmtId="49" fontId="36" fillId="0" borderId="0" xfId="0" applyFont="1" applyNumberFormat="1">
      <alignment vertical="top"/>
    </xf>
    <xf numFmtId="0" fontId="36" fillId="0" borderId="0" xfId="0" applyFont="1">
      <alignment vertical="center" wrapText="1"/>
    </xf>
    <xf numFmtId="49" fontId="0" fillId="34" borderId="12" xfId="0" applyFont="1" applyFill="1" applyBorder="1" applyNumberFormat="1">
      <alignment horizontal="center" vertical="center" wrapText="1"/>
    </xf>
    <xf numFmtId="0" fontId="20" fillId="0" borderId="0" xfId="0" applyFon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lignment horizontal="center" vertical="center"/>
    </xf>
    <xf numFmtId="0" fontId="19" fillId="0" borderId="12" xfId="0" applyFont="1" applyBorder="1">
      <alignment vertical="center" wrapText="1"/>
    </xf>
    <xf numFmtId="0" fontId="37"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top" wrapText="1"/>
    </xf>
    <xf numFmtId="49" fontId="19" fillId="0" borderId="12" xfId="0" applyFont="1" applyBorder="1" applyNumberFormat="1">
      <alignment horizontal="center" vertical="center" wrapText="1"/>
    </xf>
    <xf numFmtId="0" fontId="3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25" fillId="0" borderId="0" xfId="0" applyFont="1">
      <alignment horizontal="center" vertical="center" wrapText="1"/>
    </xf>
    <xf numFmtId="0" fontId="25" fillId="0" borderId="0" xfId="0" applyFont="1">
      <alignment horizontal="center" vertical="center" wrapText="1"/>
    </xf>
    <xf numFmtId="0" fontId="19" fillId="0" borderId="0" xfId="0" applyFont="1">
      <alignment horizontal="right" vertical="center" wrapText="1"/>
    </xf>
    <xf numFmtId="4" fontId="19" fillId="0" borderId="0" xfId="0" applyFont="1" applyNumberFormat="1">
      <alignment horizontal="right" vertical="center" wrapText="1"/>
    </xf>
    <xf numFmtId="0" fontId="19" fillId="0" borderId="0" xfId="0" applyFon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lignment vertical="center"/>
    </xf>
    <xf numFmtId="197"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lignment vertical="center" wrapText="1"/>
    </xf>
    <xf numFmtId="0" fontId="34" fillId="0" borderId="0" xfId="0" applyFont="1">
      <alignment vertical="center" wrapText="1"/>
    </xf>
    <xf numFmtId="0" fontId="40" fillId="0" borderId="0" xfId="0" applyFon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lignment vertical="center"/>
    </xf>
    <xf numFmtId="49" fontId="0" fillId="36" borderId="15" xfId="0" applyFont="1" applyFill="1" applyBorder="1" applyNumberFormat="1">
      <alignment horizontal="right" vertical="center" wrapText="1"/>
    </xf>
    <xf numFmtId="0" fontId="39" fillId="0" borderId="11" xfId="0" applyFont="1" applyBorder="1">
      <alignment vertical="center" wrapText="1"/>
    </xf>
    <xf numFmtId="0" fontId="35" fillId="0" borderId="0" xfId="0" applyFont="1">
      <alignment vertical="top" wrapText="1"/>
    </xf>
    <xf numFmtId="0" fontId="19" fillId="0" borderId="11" xfId="0" applyFont="1" applyBorder="1">
      <alignment vertical="center" wrapText="1"/>
    </xf>
    <xf numFmtId="49" fontId="19" fillId="0" borderId="0" xfId="0" applyFont="1" applyNumberFormat="1">
      <alignment vertical="top"/>
    </xf>
    <xf numFmtId="0" fontId="19" fillId="34" borderId="0" xfId="0" applyFont="1" applyFill="1">
      <alignment horizontal="right" vertical="center"/>
    </xf>
    <xf numFmtId="0" fontId="0" fillId="0" borderId="12" xfId="0" applyFont="1" applyBorder="1">
      <alignment horizontal="left" vertical="center" wrapText="1" indent="1"/>
    </xf>
    <xf numFmtId="0" fontId="0" fillId="38" borderId="12" xfId="0" applyFont="1" applyFill="1" applyBorder="1">
      <alignment horizontal="left" vertical="center" wrapText="1" indent="2"/>
      <protection locked="0"/>
    </xf>
    <xf numFmtId="49" fontId="3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lignment vertical="top" wrapText="1"/>
    </xf>
    <xf numFmtId="0" fontId="25" fillId="0" borderId="0" xfId="0" applyFont="1">
      <alignment horizontal="center" vertical="center" wrapText="1"/>
    </xf>
    <xf numFmtId="49" fontId="0" fillId="0" borderId="17" xfId="0" applyFont="1" applyBorder="1" applyNumberFormat="1">
      <alignment vertical="top"/>
    </xf>
    <xf numFmtId="0" fontId="37" fillId="0" borderId="0" xfId="0" applyFont="1">
      <alignment vertical="center"/>
    </xf>
    <xf numFmtId="0" fontId="42" fillId="0" borderId="0" xfId="0" applyFon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lignment horizontal="center" vertical="center" wrapText="1"/>
    </xf>
    <xf numFmtId="0" fontId="35" fillId="0" borderId="0" xfId="0" applyFont="1">
      <alignment vertical="center" wrapText="1"/>
    </xf>
    <xf numFmtId="0" fontId="37" fillId="0" borderId="0" xfId="0" applyFont="1">
      <alignment horizontal="center" vertical="center" wrapText="1"/>
    </xf>
    <xf numFmtId="0" fontId="0" fillId="0" borderId="12" xfId="0" applyFont="1" applyBorder="1">
      <alignment horizontal="left" vertical="center" wrapText="1"/>
    </xf>
    <xf numFmtId="49" fontId="24" fillId="0" borderId="15" xfId="0" applyFont="1" applyBorder="1" applyNumberFormat="1">
      <alignment horizontal="center" vertical="center" wrapText="1"/>
    </xf>
    <xf numFmtId="0" fontId="44" fillId="0" borderId="0" xfId="0" applyFont="1">
      <alignment vertical="center"/>
    </xf>
    <xf numFmtId="0" fontId="45" fillId="0" borderId="0" xfId="0" applyFont="1">
      <alignment vertical="center"/>
    </xf>
    <xf numFmtId="0" fontId="37" fillId="0" borderId="0" xfId="0" applyFont="1">
      <alignment vertical="center"/>
    </xf>
    <xf numFmtId="0" fontId="37" fillId="0" borderId="0" xfId="0" applyFont="1">
      <alignment horizontal="left" vertical="center" wrapText="1" indent="1"/>
    </xf>
    <xf numFmtId="0" fontId="36" fillId="0" borderId="0" xfId="0" applyFont="1">
      <alignment horizontal="left" vertical="center" wrapText="1" indent="1"/>
    </xf>
    <xf numFmtId="0" fontId="46" fillId="0" borderId="0" xfId="0" applyFont="1">
      <alignment horizontal="left" vertical="center" wrapText="1" indent="1"/>
    </xf>
    <xf numFmtId="0" fontId="47" fillId="0" borderId="0" xfId="0" applyFont="1">
      <alignment horizontal="left" vertical="center" indent="1"/>
    </xf>
    <xf numFmtId="0" fontId="46" fillId="0" borderId="0" xfId="0" applyFont="1">
      <alignment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50" fillId="34" borderId="0" xfId="0" applyFont="1" applyFill="1">
      <alignment horizontal="right" vertical="center" wrapText="1" indent="1"/>
    </xf>
    <xf numFmtId="0" fontId="52" fillId="34" borderId="0" xfId="0" applyFont="1" applyFill="1">
      <alignment horizontal="center" vertical="center" wrapText="1"/>
    </xf>
    <xf numFmtId="0" fontId="48" fillId="34" borderId="0" xfId="0" applyFont="1" applyFill="1">
      <alignment horizontal="center" vertical="center" wrapText="1"/>
    </xf>
    <xf numFmtId="0" fontId="50" fillId="34" borderId="0" xfId="0" applyFont="1" applyFill="1">
      <alignment horizontal="left" vertical="center" wrapText="1" indent="1"/>
    </xf>
    <xf numFmtId="0" fontId="53" fillId="0" borderId="0" xfId="0" applyFont="1">
      <alignment horizontal="left" vertical="center" wrapText="1"/>
    </xf>
    <xf numFmtId="0" fontId="53" fillId="0" borderId="0" xfId="0" applyFont="1">
      <alignment vertical="center" wrapText="1"/>
    </xf>
    <xf numFmtId="0" fontId="50" fillId="0" borderId="0" xfId="0" applyFont="1">
      <alignment vertical="center" wrapText="1"/>
    </xf>
    <xf numFmtId="0" fontId="50" fillId="0" borderId="0" xfId="0" applyFont="1">
      <alignment horizontal="right" vertical="center"/>
    </xf>
    <xf numFmtId="49" fontId="19" fillId="0" borderId="0" xfId="0" applyFont="1" applyNumberFormat="1">
      <alignment vertical="center" wrapText="1"/>
    </xf>
    <xf numFmtId="0" fontId="0" fillId="0" borderId="0" xfId="0" applyFont="1">
      <alignment horizontal="left" vertical="center" indent="1"/>
    </xf>
    <xf numFmtId="0" fontId="37" fillId="0" borderId="0" xfId="0" applyFont="1">
      <alignment horizontal="left" vertical="center" indent="1"/>
    </xf>
    <xf numFmtId="0" fontId="37" fillId="0" borderId="0" xfId="0" applyFont="1">
      <alignment horizontal="left" vertical="center" indent="1"/>
    </xf>
    <xf numFmtId="0" fontId="37" fillId="0" borderId="22" xfId="0" applyFont="1" applyBorder="1">
      <alignment vertical="center"/>
    </xf>
    <xf numFmtId="0" fontId="19"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lignment horizontal="left" vertical="center" wrapText="1" indent="2"/>
    </xf>
    <xf numFmtId="0" fontId="19" fillId="0" borderId="12" xfId="0" applyFont="1" applyBorder="1">
      <alignment vertical="top" wrapText="1"/>
    </xf>
    <xf numFmtId="0" fontId="0" fillId="38" borderId="12" xfId="0" applyFont="1" applyFill="1" applyBorder="1">
      <alignment horizontal="left" vertical="center" wrapText="1"/>
      <protection locked="0"/>
    </xf>
    <xf numFmtId="0" fontId="19" fillId="0" borderId="12" xfId="0" applyFont="1" applyBorder="1">
      <alignment horizontal="left" vertical="top" wrapText="1"/>
    </xf>
    <xf numFmtId="0" fontId="19" fillId="0" borderId="12" xfId="0" applyFont="1" applyBorder="1">
      <alignment horizontal="left" vertical="center" wrapText="1"/>
    </xf>
    <xf numFmtId="0" fontId="19" fillId="0" borderId="12" xfId="0" applyFont="1" applyBorder="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xf numFmtId="0" fontId="54" fillId="0" borderId="0" xfId="0" applyFont="1">
      <alignment vertical="center" wrapText="1"/>
    </xf>
    <xf numFmtId="0" fontId="54" fillId="0" borderId="0" xfId="0" applyFont="1">
      <alignment vertical="center" wrapText="1"/>
    </xf>
    <xf numFmtId="0" fontId="54" fillId="0" borderId="0" xfId="0" applyFont="1"/>
    <xf numFmtId="49" fontId="55" fillId="0" borderId="0" xfId="0" applyFont="1" applyNumberFormat="1">
      <alignment vertical="top"/>
    </xf>
    <xf numFmtId="49" fontId="56" fillId="0" borderId="0" xfId="0" applyFont="1" applyNumberFormat="1">
      <alignment vertical="top"/>
    </xf>
    <xf numFmtId="0" fontId="19" fillId="0" borderId="0" xfId="0" applyFon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lignment vertical="top"/>
    </xf>
    <xf numFmtId="49" fontId="37" fillId="0" borderId="0" xfId="0" applyFont="1" applyNumberFormat="1">
      <alignment vertical="top"/>
    </xf>
    <xf numFmtId="0" fontId="0" fillId="0" borderId="0" xfId="0" applyFont="1">
      <alignment vertical="top"/>
    </xf>
    <xf numFmtId="49" fontId="19" fillId="0" borderId="12" xfId="0" applyFont="1" applyBorder="1" applyNumberFormat="1">
      <alignment horizontal="right" vertical="center"/>
    </xf>
    <xf numFmtId="0" fontId="57" fillId="0" borderId="0" xfId="0" applyFont="1">
      <alignment vertical="center"/>
    </xf>
    <xf numFmtId="0" fontId="37" fillId="0" borderId="0" xfId="0" applyFont="1">
      <alignment vertical="center"/>
    </xf>
    <xf numFmtId="0" fontId="35" fillId="0" borderId="0" xfId="0" applyFont="1">
      <alignment horizontal="center" vertical="center" wrapText="1"/>
    </xf>
    <xf numFmtId="0" fontId="0" fillId="0" borderId="0" xfId="0" applyFont="1">
      <alignment horizontal="center" vertical="center"/>
    </xf>
    <xf numFmtId="0" fontId="37" fillId="0" borderId="0" xfId="0" applyFont="1">
      <alignment vertical="center" wrapText="1"/>
    </xf>
    <xf numFmtId="0" fontId="19" fillId="0" borderId="12" xfId="0" applyFont="1" applyBorder="1">
      <alignment horizontal="left" vertical="center" wrapText="1"/>
    </xf>
    <xf numFmtId="0" fontId="58" fillId="0" borderId="0" xfId="0" applyFont="1">
      <alignment vertical="center"/>
    </xf>
    <xf numFmtId="49" fontId="24" fillId="34" borderId="0" xfId="0" applyFont="1" applyFill="1" applyNumberFormat="1">
      <alignment horizontal="center" vertical="center" wrapText="1"/>
    </xf>
    <xf numFmtId="0" fontId="0" fillId="0" borderId="0" xfId="0" applyFont="1">
      <alignment vertical="center"/>
    </xf>
    <xf numFmtId="0" fontId="19" fillId="0" borderId="12" xfId="0" applyFont="1" applyBorder="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lignment horizontal="left" vertical="center" wrapText="1" indent="4"/>
    </xf>
    <xf numFmtId="0" fontId="19" fillId="34" borderId="12" xfId="0" applyFont="1" applyFill="1" applyBorder="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lignment vertical="center" wrapText="1"/>
    </xf>
    <xf numFmtId="0" fontId="35" fillId="0" borderId="0" xfId="0" applyFont="1">
      <alignment vertical="center" wrapText="1"/>
    </xf>
    <xf numFmtId="0" fontId="59" fillId="34" borderId="0" xfId="0" applyFont="1" applyFill="1">
      <alignment vertical="center" wrapText="1"/>
    </xf>
    <xf numFmtId="49" fontId="19" fillId="0" borderId="12" xfId="0" applyFont="1" applyBorder="1" applyNumberFormat="1">
      <alignment horizontal="center" vertical="center" wrapText="1"/>
    </xf>
    <xf numFmtId="49" fontId="29" fillId="36" borderId="14" xfId="0" applyFont="1" applyFill="1" applyBorder="1" applyNumberFormat="1">
      <alignment horizontal="left" vertical="center" indent="1"/>
    </xf>
    <xf numFmtId="0" fontId="0" fillId="34" borderId="12" xfId="0" applyFont="1" applyFill="1" applyBorder="1">
      <alignment horizontal="right" vertical="center" wrapText="1" indent="1"/>
    </xf>
    <xf numFmtId="49" fontId="0" fillId="0" borderId="12" xfId="0" applyFont="1" applyBorder="1" applyNumberFormat="1">
      <alignment horizontal="left" vertical="center"/>
    </xf>
    <xf numFmtId="0" fontId="19" fillId="0" borderId="12" xfId="0" applyFont="1" applyBorder="1">
      <alignment vertical="top" wrapText="1"/>
    </xf>
    <xf numFmtId="0" fontId="19" fillId="0" borderId="12" xfId="0" applyFont="1" applyBorder="1">
      <alignment vertical="center" wrapText="1"/>
    </xf>
    <xf numFmtId="0" fontId="57" fillId="0" borderId="0" xfId="0" applyFont="1">
      <alignment vertical="center"/>
    </xf>
    <xf numFmtId="0" fontId="19" fillId="0" borderId="12" xfId="0" applyFont="1" applyBorder="1">
      <alignment horizontal="left" vertical="center" wrapText="1" indent="6"/>
    </xf>
    <xf numFmtId="0" fontId="19" fillId="0" borderId="17" xfId="0" applyFont="1" applyBorder="1">
      <alignment vertical="center" wrapText="1"/>
    </xf>
    <xf numFmtId="0" fontId="19" fillId="0" borderId="23" xfId="0" applyFont="1" applyBorder="1">
      <alignment vertical="center" wrapText="1"/>
    </xf>
    <xf numFmtId="49" fontId="0" fillId="36" borderId="13" xfId="0" applyFont="1" applyFill="1" applyBorder="1" applyNumberFormat="1">
      <alignment horizontal="center" vertical="center" wrapText="1"/>
    </xf>
    <xf numFmtId="0" fontId="0" fillId="0" borderId="14" xfId="0" applyFont="1" applyBorder="1">
      <alignment vertical="center"/>
    </xf>
    <xf numFmtId="198" fontId="0" fillId="38" borderId="12" xfId="0" applyFont="1" applyFill="1" applyBorder="1" applyNumberFormat="1">
      <alignment horizontal="right" vertical="center"/>
      <protection locked="0"/>
    </xf>
    <xf numFmtId="0" fontId="0" fillId="34" borderId="14" xfId="0" applyFont="1" applyFill="1" applyBorder="1">
      <alignment horizontal="right" vertical="center" wrapText="1" indent="1"/>
    </xf>
    <xf numFmtId="49" fontId="20" fillId="0" borderId="0" xfId="0" applyFont="1" applyNumberFormat="1">
      <alignment vertical="top"/>
    </xf>
    <xf numFmtId="0" fontId="28" fillId="34" borderId="0" xfId="0" applyFont="1" applyFill="1">
      <alignment vertical="center" wrapText="1"/>
    </xf>
    <xf numFmtId="49" fontId="60" fillId="36" borderId="14" xfId="0" applyFont="1" applyFill="1" applyBorder="1" applyNumberFormat="1">
      <alignment horizontal="center" vertical="center"/>
    </xf>
    <xf numFmtId="0" fontId="19" fillId="34" borderId="12" xfId="0" applyFont="1" applyFill="1" applyBorder="1">
      <alignment horizontal="left" vertical="center" wrapText="1" indent="1"/>
    </xf>
    <xf numFmtId="0" fontId="19" fillId="34" borderId="12" xfId="0" applyFont="1" applyFill="1" applyBorder="1">
      <alignment horizontal="left" vertical="center" wrapText="1" indent="2"/>
    </xf>
    <xf numFmtId="0" fontId="19" fillId="34" borderId="12" xfId="0" applyFont="1" applyFill="1" applyBorder="1">
      <alignment horizontal="left" vertical="center" wrapText="1" indent="3"/>
    </xf>
    <xf numFmtId="0" fontId="19" fillId="0" borderId="12" xfId="0" applyFont="1" applyBorder="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lignment vertical="center" wrapText="1"/>
    </xf>
    <xf numFmtId="49" fontId="19" fillId="0" borderId="12" xfId="0" applyFont="1" applyBorder="1" applyNumberFormat="1">
      <alignment vertical="center" wrapText="1"/>
    </xf>
    <xf numFmtId="0" fontId="19" fillId="0" borderId="0" xfId="0" applyFon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0" fillId="0" borderId="0" xfId="0" applyFont="1">
      <alignment horizontal="right" vertical="center" wrapText="1" indent="1"/>
    </xf>
    <xf numFmtId="0" fontId="39" fillId="34" borderId="0" xfId="0" applyFont="1" applyFill="1">
      <alignment horizontal="center" vertical="center" wrapText="1"/>
    </xf>
    <xf numFmtId="49" fontId="60" fillId="36" borderId="15" xfId="0" applyFont="1" applyFill="1" applyBorder="1" applyNumberFormat="1">
      <alignment horizontal="left" vertical="center"/>
    </xf>
    <xf numFmtId="0" fontId="19" fillId="0" borderId="0" xfId="0" applyFon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lignment vertical="center" wrapText="1"/>
    </xf>
    <xf numFmtId="0" fontId="19" fillId="0" borderId="0" xfId="0" applyFont="1">
      <alignment vertical="center" wrapText="1"/>
    </xf>
    <xf numFmtId="4" fontId="3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61" fillId="0" borderId="14" xfId="0" applyFont="1" applyBorder="1" applyNumberFormat="1">
      <alignment horizontal="left" vertical="center" wrapText="1"/>
    </xf>
    <xf numFmtId="0" fontId="57" fillId="0" borderId="12" xfId="0" applyFont="1" applyBorder="1">
      <alignment horizontal="left" vertical="center" wrapText="1" indent="2"/>
    </xf>
    <xf numFmtId="49" fontId="57" fillId="0" borderId="12" xfId="0" applyFont="1" applyBorder="1" applyNumberFormat="1">
      <alignment horizontal="center" vertical="center" wrapText="1"/>
    </xf>
    <xf numFmtId="0" fontId="62" fillId="0" borderId="0" xfId="0" applyFont="1">
      <alignment vertical="center" wrapText="1"/>
    </xf>
    <xf numFmtId="0" fontId="19" fillId="0" borderId="0" xfId="0" applyFont="1">
      <alignment vertical="top"/>
    </xf>
    <xf numFmtId="0" fontId="19" fillId="0" borderId="0" xfId="0" applyFont="1">
      <alignment horizontal="right" vertical="top" wrapText="1"/>
    </xf>
    <xf numFmtId="0" fontId="19" fillId="0" borderId="17" xfId="0" applyFont="1" applyBorder="1">
      <alignment vertical="center" wrapText="1"/>
    </xf>
    <xf numFmtId="49" fontId="33" fillId="36" borderId="15" xfId="0" applyFont="1" applyFill="1" applyBorder="1" applyNumberFormat="1">
      <alignment horizontal="center" vertical="top"/>
    </xf>
    <xf numFmtId="0" fontId="19" fillId="0" borderId="23" xfId="0" applyFont="1" applyBorder="1">
      <alignment vertical="top" wrapText="1"/>
    </xf>
    <xf numFmtId="0" fontId="0" fillId="0" borderId="0" xfId="0" applyFont="1">
      <alignment horizontal="left" vertical="top" wrapText="1"/>
    </xf>
    <xf numFmtId="0" fontId="19" fillId="0" borderId="17" xfId="0" applyFont="1" applyBorder="1">
      <alignment vertical="top" wrapText="1"/>
    </xf>
    <xf numFmtId="0" fontId="19" fillId="0" borderId="0" xfId="0" applyFont="1">
      <alignment vertical="center" wrapText="1"/>
    </xf>
    <xf numFmtId="49" fontId="19" fillId="0" borderId="0" xfId="0" applyFont="1" applyNumberFormat="1">
      <alignment vertical="top"/>
    </xf>
    <xf numFmtId="0" fontId="28" fillId="0" borderId="0" xfId="0" applyFont="1">
      <alignment vertical="center" wrapText="1"/>
    </xf>
    <xf numFmtId="0" fontId="19" fillId="0" borderId="12" xfId="0" applyFont="1" applyBorder="1">
      <alignment vertical="center" wrapText="1"/>
    </xf>
    <xf numFmtId="49" fontId="19" fillId="0" borderId="0" xfId="0" applyFont="1" applyNumberFormat="1">
      <alignment horizontal="center" vertical="center" wrapText="1"/>
    </xf>
    <xf numFmtId="0" fontId="19" fillId="36" borderId="14" xfId="0" applyFont="1" applyFill="1" applyBorder="1">
      <alignment vertical="center" wrapText="1"/>
    </xf>
    <xf numFmtId="0" fontId="19"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lignment vertical="center"/>
    </xf>
    <xf numFmtId="0" fontId="63" fillId="0" borderId="0" xfId="0" applyFont="1">
      <alignment vertical="center" wrapText="1"/>
    </xf>
    <xf numFmtId="0" fontId="31" fillId="34" borderId="0" xfId="0" applyFont="1" applyFill="1">
      <alignment horizontal="center" vertical="center" wrapText="1"/>
    </xf>
    <xf numFmtId="0" fontId="19" fillId="0" borderId="24" xfId="0" applyFont="1" applyBorder="1">
      <alignment vertical="center" wrapText="1"/>
    </xf>
    <xf numFmtId="0" fontId="25" fillId="0" borderId="0" xfId="0" applyFont="1">
      <alignment vertical="center" wrapText="1"/>
    </xf>
    <xf numFmtId="49" fontId="19" fillId="0" borderId="24" xfId="0" applyFont="1" applyBorder="1" applyNumberFormat="1">
      <alignment vertical="top"/>
    </xf>
    <xf numFmtId="0" fontId="37" fillId="0" borderId="24" xfId="0" applyFont="1" applyBorder="1">
      <alignment horizontal="center" vertical="center" wrapText="1"/>
    </xf>
    <xf numFmtId="0" fontId="37" fillId="0" borderId="24" xfId="0" applyFont="1" applyBorder="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lignment vertical="center" wrapText="1"/>
    </xf>
    <xf numFmtId="0" fontId="20" fillId="0" borderId="0" xfId="0" applyFont="1">
      <alignment horizontal="center" vertical="center" wrapText="1"/>
    </xf>
    <xf numFmtId="0" fontId="20" fillId="0" borderId="0" xfId="0" applyFont="1">
      <alignment vertical="center" wrapText="1"/>
    </xf>
    <xf numFmtId="0" fontId="19" fillId="34" borderId="0" xfId="0" applyFont="1" applyFill="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lignment vertical="center"/>
    </xf>
    <xf numFmtId="0" fontId="19" fillId="0" borderId="0" xfId="0" applyFon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0" fontId="19" fillId="0" borderId="0" xfId="0" applyFon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98"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lignment horizontal="center" vertical="center" wrapText="1"/>
    </xf>
    <xf numFmtId="0" fontId="25" fillId="34" borderId="0" xfId="0" applyFont="1" applyFill="1">
      <alignment horizontal="center" vertical="center" wrapText="1"/>
    </xf>
    <xf numFmtId="0" fontId="0" fillId="0" borderId="12" xfId="0" applyFont="1" applyBorder="1">
      <alignment horizontal="left" vertical="center" wrapText="1"/>
    </xf>
    <xf numFmtId="0" fontId="19" fillId="34" borderId="0" xfId="0" applyFont="1" applyFill="1">
      <alignment horizontal="center" vertical="center" wrapText="1"/>
    </xf>
    <xf numFmtId="0" fontId="39" fillId="0" borderId="0" xfId="0" applyFont="1">
      <alignment vertical="top" wrapText="1"/>
    </xf>
    <xf numFmtId="0" fontId="19" fillId="34" borderId="26" xfId="0" applyFont="1" applyFill="1" applyBorder="1">
      <alignment horizontal="right" vertical="center" wrapText="1" indent="1"/>
    </xf>
    <xf numFmtId="0" fontId="0" fillId="34" borderId="26" xfId="0" applyFont="1" applyFill="1" applyBorder="1">
      <alignment horizontal="right" vertical="center" wrapText="1" indent="1"/>
    </xf>
    <xf numFmtId="0" fontId="19" fillId="0" borderId="0" xfId="0" applyFont="1">
      <alignment horizontal="left" vertical="center" wrapText="1" indent="4"/>
    </xf>
    <xf numFmtId="0" fontId="19" fillId="34" borderId="0" xfId="0" applyFont="1" applyFill="1">
      <alignment horizontal="center" vertical="center" wrapText="1"/>
    </xf>
    <xf numFmtId="49" fontId="29" fillId="36" borderId="15" xfId="0" applyFont="1" applyFill="1" applyBorder="1" applyNumberFormat="1">
      <alignment horizontal="left" vertical="center"/>
    </xf>
    <xf numFmtId="0" fontId="19" fillId="0" borderId="19" xfId="0" applyFont="1" applyBorder="1">
      <alignment vertical="center" wrapText="1"/>
    </xf>
    <xf numFmtId="0" fontId="19" fillId="0" borderId="0" xfId="0" applyFont="1">
      <alignment horizontal="left" vertical="center" wrapText="1" indent="1"/>
    </xf>
    <xf numFmtId="0" fontId="62" fillId="0" borderId="0" xfId="0" applyFon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lignment horizontal="right" vertical="center"/>
    </xf>
    <xf numFmtId="0" fontId="21" fillId="0" borderId="0" xfId="0" applyFont="1">
      <alignment vertical="center" wrapText="1"/>
    </xf>
    <xf numFmtId="0" fontId="19" fillId="0" borderId="0" xfId="0" applyFont="1">
      <alignment vertical="center" wrapText="1"/>
    </xf>
    <xf numFmtId="0" fontId="22" fillId="34" borderId="0" xfId="0" applyFont="1" applyFill="1">
      <alignment vertical="center" wrapText="1"/>
    </xf>
    <xf numFmtId="0" fontId="20" fillId="0" borderId="0" xfId="0" applyFont="1">
      <alignment horizontal="center" vertical="center" wrapText="1"/>
    </xf>
    <xf numFmtId="0" fontId="0" fillId="0" borderId="0" xfId="0" applyFont="1">
      <alignment vertical="center" wrapText="1"/>
    </xf>
    <xf numFmtId="0" fontId="20" fillId="0" borderId="0" xfId="0" applyFont="1">
      <alignment horizontal="left" vertical="center" wrapText="1"/>
    </xf>
    <xf numFmtId="0" fontId="0" fillId="0" borderId="12" xfId="0" applyFont="1" applyBorder="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lignment vertical="center" wrapText="1"/>
    </xf>
    <xf numFmtId="0" fontId="0" fillId="0" borderId="0" xfId="0" applyFont="1">
      <alignment vertical="center"/>
    </xf>
    <xf numFmtId="49" fontId="37" fillId="0" borderId="0" xfId="0" applyFont="1" applyNumberFormat="1">
      <alignment vertical="top"/>
    </xf>
    <xf numFmtId="0" fontId="64" fillId="0" borderId="0" xfId="0" applyFon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lignment horizontal="center"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0" fillId="0" borderId="14" xfId="0" applyFont="1" applyBorder="1">
      <alignment horizontal="center" vertical="center" wrapText="1"/>
    </xf>
    <xf numFmtId="0" fontId="0" fillId="35" borderId="12" xfId="0" applyFont="1" applyFill="1" applyBorder="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lignment horizontal="left" vertical="center" wrapText="1" indent="1"/>
    </xf>
    <xf numFmtId="0" fontId="0" fillId="34" borderId="17" xfId="0" applyFont="1" applyFill="1" applyBorder="1">
      <alignment horizontal="left" vertical="center" wrapText="1"/>
    </xf>
    <xf numFmtId="0" fontId="0" fillId="34" borderId="12" xfId="0" applyFont="1" applyFill="1" applyBorder="1">
      <alignment horizontal="left" vertical="center" wrapText="1"/>
    </xf>
    <xf numFmtId="0" fontId="0" fillId="34" borderId="12" xfId="0" applyFont="1" applyFill="1" applyBorder="1">
      <alignment horizontal="left" vertical="center" wrapText="1" indent="2"/>
    </xf>
    <xf numFmtId="0" fontId="0" fillId="34" borderId="12" xfId="0" applyFont="1" applyFill="1" applyBorder="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lignment horizontal="left" vertical="center" wrapText="1" indent="1"/>
    </xf>
    <xf numFmtId="0" fontId="0" fillId="0" borderId="12" xfId="0" applyFont="1" applyBorder="1">
      <alignment horizontal="center" vertical="center" wrapText="1"/>
    </xf>
    <xf numFmtId="0" fontId="0" fillId="34" borderId="12" xfId="0" applyFont="1" applyFill="1" applyBorder="1">
      <alignment vertical="center" wrapText="1"/>
    </xf>
    <xf numFmtId="49" fontId="0" fillId="34" borderId="12" xfId="0" applyFont="1" applyFill="1" applyBorder="1" applyNumberFormat="1">
      <alignment horizontal="center" vertical="center"/>
    </xf>
    <xf numFmtId="0" fontId="0" fillId="34" borderId="12" xfId="0" applyFont="1" applyFill="1" applyBorder="1">
      <alignment horizontal="center" vertical="center" wrapText="1"/>
    </xf>
    <xf numFmtId="0" fontId="19" fillId="0" borderId="0" xfId="0" applyFont="1">
      <alignment vertical="center" wrapText="1"/>
    </xf>
    <xf numFmtId="49" fontId="24" fillId="34" borderId="0" xfId="0" applyFont="1" applyFill="1" applyNumberFormat="1">
      <alignment horizontal="center" vertical="center" wrapText="1"/>
    </xf>
    <xf numFmtId="0" fontId="20" fillId="0" borderId="0" xfId="0" applyFont="1">
      <alignment vertical="center" wrapText="1"/>
    </xf>
    <xf numFmtId="0" fontId="25" fillId="34" borderId="0" xfId="0" applyFont="1" applyFill="1">
      <alignment horizontal="center" vertical="center" wrapText="1"/>
    </xf>
    <xf numFmtId="0" fontId="25" fillId="0" borderId="0" xfId="0" applyFont="1">
      <alignment horizontal="center" vertical="center" wrapText="1"/>
    </xf>
    <xf numFmtId="0" fontId="31" fillId="0" borderId="0" xfId="0" applyFont="1">
      <alignment vertical="center" wrapText="1"/>
    </xf>
    <xf numFmtId="0" fontId="35" fillId="0" borderId="0" xfId="0" applyFont="1">
      <alignment horizontal="center" vertical="center" wrapText="1"/>
    </xf>
    <xf numFmtId="0" fontId="34" fillId="0" borderId="0" xfId="0" applyFont="1">
      <alignment vertical="center" wrapText="1"/>
    </xf>
    <xf numFmtId="0" fontId="0" fillId="34" borderId="0" xfId="0" applyFont="1" applyFill="1"/>
    <xf numFmtId="0" fontId="0" fillId="34" borderId="0" xfId="0" applyFont="1" applyFill="1">
      <alignment horizontal="center"/>
    </xf>
    <xf numFmtId="0" fontId="19" fillId="34" borderId="0" xfId="0" applyFont="1" applyFill="1">
      <alignment vertical="center" wrapText="1"/>
    </xf>
    <xf numFmtId="0" fontId="65" fillId="34" borderId="0" xfId="0" applyFont="1" applyFill="1">
      <alignment horizontal="center"/>
    </xf>
    <xf numFmtId="0" fontId="65" fillId="34" borderId="0" xfId="0" applyFont="1" applyFill="1"/>
    <xf numFmtId="0" fontId="66" fillId="34" borderId="0" xfId="0" applyFont="1" applyFill="1"/>
    <xf numFmtId="0" fontId="67" fillId="34" borderId="0" xfId="0" applyFont="1" applyFill="1">
      <alignment horizontal="right" vertical="center"/>
    </xf>
    <xf numFmtId="0" fontId="67" fillId="34" borderId="0" xfId="0" applyFont="1" applyFill="1">
      <alignment horizontal="right" vertical="top"/>
    </xf>
    <xf numFmtId="0" fontId="19" fillId="34" borderId="0" xfId="0" applyFont="1" applyFill="1">
      <alignment horizontal="center" vertical="center" wrapText="1"/>
    </xf>
    <xf numFmtId="0" fontId="24" fillId="34" borderId="0" xfId="0" applyFont="1" applyFill="1">
      <alignment horizontal="center" vertical="center"/>
    </xf>
    <xf numFmtId="0" fontId="19" fillId="0" borderId="12" xfId="0" applyFont="1" applyBorder="1">
      <alignment horizontal="center" vertical="center" wrapText="1"/>
    </xf>
    <xf numFmtId="0" fontId="34" fillId="0" borderId="0" xfId="0" applyFont="1">
      <alignment vertical="top" wrapText="1"/>
    </xf>
    <xf numFmtId="0" fontId="19" fillId="36" borderId="14" xfId="0" applyFont="1" applyFill="1" applyBorder="1">
      <alignment horizontal="center"/>
    </xf>
    <xf numFmtId="0" fontId="60" fillId="36" borderId="15" xfId="0" applyFont="1" applyFill="1" applyBorder="1">
      <alignment horizontal="left" vertical="center"/>
    </xf>
    <xf numFmtId="0" fontId="60" fillId="36" borderId="13" xfId="0" applyFont="1" applyFill="1" applyBorder="1">
      <alignment horizontal="left" vertical="center"/>
    </xf>
    <xf numFmtId="0" fontId="68" fillId="34" borderId="0" xfId="0" applyFont="1" applyFill="1">
      <alignment vertical="center"/>
    </xf>
    <xf numFmtId="0" fontId="68" fillId="34" borderId="0" xfId="0" applyFont="1" applyFill="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lignment horizontal="center" vertical="center" wrapText="1"/>
    </xf>
    <xf numFmtId="0" fontId="19" fillId="34" borderId="12" xfId="0" applyFont="1" applyFill="1" applyBorder="1">
      <alignment vertical="center" wrapText="1"/>
    </xf>
    <xf numFmtId="0" fontId="55" fillId="34" borderId="0" xfId="0" applyFont="1" applyFill="1"/>
    <xf numFmtId="0" fontId="41" fillId="34" borderId="0" xfId="0" applyFont="1" applyFill="1"/>
    <xf numFmtId="0" fontId="51" fillId="34" borderId="0" xfId="0" applyFont="1" applyFill="1"/>
    <xf numFmtId="0" fontId="51" fillId="34" borderId="0" xfId="0" applyFont="1" applyFill="1">
      <alignment horizontal="center"/>
    </xf>
    <xf numFmtId="0" fontId="48" fillId="0" borderId="0" xfId="0" applyFont="1">
      <alignment vertical="center" wrapText="1"/>
    </xf>
    <xf numFmtId="0" fontId="50" fillId="0" borderId="0" xfId="0" applyFont="1">
      <alignment vertical="center" wrapText="1"/>
    </xf>
    <xf numFmtId="0" fontId="50" fillId="34" borderId="0" xfId="0" applyFont="1" applyFill="1">
      <alignment vertical="center" wrapText="1"/>
    </xf>
    <xf numFmtId="0" fontId="50" fillId="34" borderId="0" xfId="0" applyFont="1" applyFill="1">
      <alignment horizontal="right" vertical="center"/>
    </xf>
    <xf numFmtId="0" fontId="50" fillId="34" borderId="0" xfId="0" applyFont="1" applyFill="1">
      <alignment horizontal="right" vertical="center" wrapText="1"/>
    </xf>
    <xf numFmtId="4" fontId="50" fillId="0" borderId="0" xfId="0" applyFont="1" applyNumberFormat="1">
      <alignment horizontal="right" vertical="center" wrapText="1"/>
    </xf>
    <xf numFmtId="0" fontId="50" fillId="0" borderId="0" xfId="0" applyFont="1">
      <alignment horizontal="left" vertical="center" wrapText="1" indent="1"/>
    </xf>
    <xf numFmtId="0" fontId="69" fillId="34" borderId="0" xfId="0" applyFont="1" applyFill="1">
      <alignment horizontal="center" vertical="center" wrapText="1"/>
    </xf>
    <xf numFmtId="0" fontId="24" fillId="34" borderId="0" xfId="0" applyFont="1" applyFill="1">
      <alignment horizontal="center" vertical="center" wrapText="1"/>
    </xf>
    <xf numFmtId="0" fontId="54" fillId="0" borderId="0" xfId="0" applyFont="1">
      <alignment vertical="center" wrapText="1"/>
    </xf>
    <xf numFmtId="0" fontId="37" fillId="0" borderId="0" xfId="0" applyFont="1">
      <alignment vertical="center" wrapText="1"/>
    </xf>
    <xf numFmtId="49" fontId="19" fillId="39" borderId="12" xfId="0" applyFont="1" applyFill="1" applyBorder="1" applyNumberFormat="1">
      <alignment horizontal="left" vertical="center" wrapText="1"/>
    </xf>
    <xf numFmtId="0" fontId="54" fillId="0" borderId="0" xfId="0" applyFont="1">
      <alignment horizontal="center" vertical="center" wrapText="1"/>
    </xf>
    <xf numFmtId="0" fontId="19" fillId="34" borderId="24" xfId="0" applyFont="1" applyFill="1" applyBorder="1">
      <alignment vertical="center" wrapText="1"/>
    </xf>
    <xf numFmtId="49" fontId="24" fillId="34" borderId="15" xfId="0" applyFont="1" applyFill="1" applyBorder="1" applyNumberFormat="1">
      <alignment horizontal="center" vertical="center" wrapText="1"/>
    </xf>
    <xf numFmtId="0" fontId="37" fillId="0" borderId="0" xfId="0" applyFont="1">
      <alignment horizontal="center" vertical="center" wrapText="1"/>
    </xf>
    <xf numFmtId="0" fontId="69" fillId="0" borderId="0" xfId="0" applyFont="1">
      <alignment horizontal="center" vertical="center" wrapText="1"/>
    </xf>
    <xf numFmtId="0" fontId="63" fillId="0" borderId="0" xfId="0" applyFont="1">
      <alignment vertical="center" wrapText="1"/>
    </xf>
    <xf numFmtId="49" fontId="63" fillId="0" borderId="12" xfId="0" applyFont="1" applyBorder="1" applyNumberFormat="1">
      <alignment horizontal="left" vertical="center" wrapText="1"/>
    </xf>
    <xf numFmtId="0" fontId="70" fillId="34" borderId="0" xfId="0" applyFont="1" applyFill="1">
      <alignment horizontal="center" vertical="center" wrapText="1"/>
    </xf>
    <xf numFmtId="49" fontId="63" fillId="0" borderId="17" xfId="0" applyFont="1" applyBorder="1" applyNumberFormat="1">
      <alignment horizontal="left" vertical="center" wrapText="1"/>
    </xf>
    <xf numFmtId="0" fontId="37" fillId="0" borderId="0" xfId="0" applyFont="1">
      <alignment vertical="center"/>
    </xf>
    <xf numFmtId="0" fontId="37" fillId="34" borderId="0" xfId="0" applyFont="1" applyFill="1"/>
    <xf numFmtId="0" fontId="37" fillId="34" borderId="0" xfId="0" applyFont="1" applyFill="1">
      <alignment vertical="center" wrapText="1"/>
    </xf>
    <xf numFmtId="0" fontId="37" fillId="0" borderId="0" xfId="0" applyFont="1">
      <alignment vertical="center" wrapText="1"/>
    </xf>
    <xf numFmtId="49" fontId="19" fillId="0" borderId="0" xfId="0" applyFont="1" applyNumberFormat="1">
      <alignment vertical="top"/>
    </xf>
    <xf numFmtId="0" fontId="19" fillId="0" borderId="0" xfId="0" applyFont="1">
      <alignment vertical="center" wrapText="1"/>
    </xf>
    <xf numFmtId="0" fontId="25" fillId="34" borderId="0" xfId="0" applyFont="1" applyFill="1">
      <alignment horizontal="center" vertical="center" wrapText="1"/>
    </xf>
    <xf numFmtId="0" fontId="31" fillId="0" borderId="0" xfId="0" applyFont="1">
      <alignment vertical="center" wrapText="1"/>
    </xf>
    <xf numFmtId="49" fontId="19" fillId="0" borderId="12" xfId="0" applyFont="1" applyBorder="1" applyNumberFormat="1">
      <alignment horizontal="left" vertical="center" wrapText="1"/>
    </xf>
    <xf numFmtId="0" fontId="19" fillId="0" borderId="0" xfId="0" applyFont="1">
      <alignment vertical="center" wrapText="1"/>
    </xf>
    <xf numFmtId="49" fontId="37" fillId="0" borderId="0" xfId="0" applyFont="1" applyNumberFormat="1">
      <alignment vertical="center" wrapText="1"/>
    </xf>
    <xf numFmtId="0" fontId="37" fillId="0" borderId="0" xfId="0" applyFont="1">
      <alignment vertical="center" wrapText="1"/>
    </xf>
    <xf numFmtId="0" fontId="19" fillId="0" borderId="12" xfId="0" applyFont="1" applyBorder="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lignment horizontal="left" vertical="center" wrapText="1"/>
    </xf>
    <xf numFmtId="49" fontId="37" fillId="0" borderId="0" xfId="0" applyFont="1" applyNumberFormat="1">
      <alignment horizontal="left" vertical="center" wrapText="1"/>
    </xf>
    <xf numFmtId="0" fontId="37" fillId="0" borderId="0" xfId="0" applyFon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0" borderId="0" xfId="0" applyFont="1">
      <alignment horizontal="center" vertical="center" wrapText="1"/>
    </xf>
    <xf numFmtId="0" fontId="19" fillId="0" borderId="12" xfId="0" applyFont="1" applyBorder="1">
      <alignment horizontal="center" vertical="center" wrapText="1"/>
    </xf>
    <xf numFmtId="49" fontId="19" fillId="39" borderId="12" xfId="0" applyFont="1" applyFill="1" applyBorder="1" applyNumberFormat="1">
      <alignment horizontal="center" vertical="center" wrapText="1"/>
    </xf>
    <xf numFmtId="0" fontId="72" fillId="0" borderId="0" xfId="0" applyFont="1">
      <alignment horizontal="center" vertical="center" wrapText="1"/>
    </xf>
    <xf numFmtId="0" fontId="25" fillId="0" borderId="0" xfId="0" applyFon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lignment horizontal="left" vertical="center" wrapText="1"/>
    </xf>
    <xf numFmtId="49" fontId="39" fillId="36" borderId="15" xfId="0" applyFont="1" applyFill="1" applyBorder="1" applyNumberFormat="1">
      <alignment horizontal="center" vertical="center"/>
    </xf>
    <xf numFmtId="0" fontId="21" fillId="0" borderId="0" xfId="0" applyFont="1">
      <alignment vertical="center" wrapText="1"/>
    </xf>
    <xf numFmtId="0" fontId="20" fillId="0" borderId="0" xfId="0" applyFont="1">
      <alignment horizontal="center" vertical="center" wrapText="1"/>
    </xf>
    <xf numFmtId="0" fontId="19" fillId="0" borderId="0" xfId="0" applyFont="1">
      <alignment horizontal="center" vertical="center" wrapText="1"/>
    </xf>
    <xf numFmtId="0" fontId="19" fillId="0" borderId="0" xfId="0" applyFont="1">
      <alignment vertical="center" wrapText="1"/>
    </xf>
    <xf numFmtId="0" fontId="36" fillId="0" borderId="0" xfId="0" applyFont="1">
      <alignment horizontal="center" vertical="center" wrapText="1"/>
    </xf>
    <xf numFmtId="0" fontId="73" fillId="0" borderId="0" xfId="0" applyFont="1">
      <alignment vertical="center" wrapText="1"/>
    </xf>
    <xf numFmtId="49" fontId="36" fillId="0" borderId="0" xfId="0" applyFont="1" applyNumberFormat="1">
      <alignment horizontal="center" vertical="center" wrapText="1"/>
    </xf>
    <xf numFmtId="0" fontId="36" fillId="0" borderId="0" xfId="0" applyFon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lignment vertical="top" wrapText="1"/>
    </xf>
    <xf numFmtId="0" fontId="74" fillId="0" borderId="0" xfId="0" applyFont="1">
      <alignment vertical="center" wrapText="1"/>
    </xf>
    <xf numFmtId="0" fontId="44" fillId="0" borderId="0" xfId="0" applyFont="1">
      <alignment vertical="center" wrapText="1"/>
    </xf>
    <xf numFmtId="199" fontId="19" fillId="35" borderId="12" xfId="0" applyFont="1" applyFill="1" applyBorder="1" applyNumberFormat="1">
      <alignment horizontal="right" vertical="center" wrapText="1"/>
      <protection locked="0"/>
    </xf>
    <xf numFmtId="0" fontId="19" fillId="0" borderId="28" xfId="0" applyFont="1" applyBorder="1">
      <alignment horizontal="center" vertical="center" wrapText="1"/>
    </xf>
    <xf numFmtId="0" fontId="19" fillId="38" borderId="12" xfId="0" applyFont="1" applyFill="1" applyBorder="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lignment horizontal="center" vertical="center" wrapText="1"/>
    </xf>
    <xf numFmtId="0" fontId="37" fillId="0" borderId="12" xfId="0" applyFont="1" applyBorder="1">
      <alignment horizontal="left" vertical="center" wrapText="1" indent="2"/>
    </xf>
    <xf numFmtId="0" fontId="37" fillId="0" borderId="12" xfId="0" applyFont="1" applyBorder="1">
      <alignment horizontal="center" vertical="center" wrapText="1"/>
    </xf>
    <xf numFmtId="0" fontId="37" fillId="0" borderId="12" xfId="0" applyFont="1" applyBorder="1">
      <alignment vertical="center" wrapText="1"/>
    </xf>
    <xf numFmtId="0" fontId="19" fillId="0" borderId="12" xfId="0" applyFont="1" applyBorder="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lignment horizontal="left" vertical="center" wrapText="1"/>
      <protection locked="0"/>
    </xf>
    <xf numFmtId="0" fontId="35" fillId="0" borderId="0" xfId="0" applyFon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lignment horizontal="left" vertical="center" wrapText="1" indent="2"/>
    </xf>
    <xf numFmtId="0" fontId="63" fillId="0" borderId="12" xfId="0" applyFont="1" applyBorder="1">
      <alignment horizontal="center" vertical="center" wrapText="1"/>
    </xf>
    <xf numFmtId="0" fontId="63" fillId="0" borderId="12" xfId="0" applyFont="1" applyBorder="1">
      <alignment vertical="center" wrapText="1"/>
    </xf>
    <xf numFmtId="0" fontId="75" fillId="0" borderId="0" xfId="0" applyFont="1">
      <alignment vertical="center" wrapText="1"/>
    </xf>
    <xf numFmtId="0" fontId="53" fillId="0" borderId="0" xfId="0" applyFont="1">
      <alignment vertical="center" wrapText="1"/>
    </xf>
    <xf numFmtId="0" fontId="63" fillId="0" borderId="28" xfId="0" applyFont="1" applyBorder="1">
      <alignment horizontal="center" vertical="center" wrapText="1"/>
    </xf>
    <xf numFmtId="0" fontId="63" fillId="0" borderId="12" xfId="0" applyFont="1" applyBorder="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lignment vertical="center" wrapText="1"/>
    </xf>
    <xf numFmtId="0" fontId="36" fillId="36" borderId="13" xfId="0" applyFont="1" applyFill="1" applyBorder="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lignment horizontal="left" vertical="center" wrapText="1" indent="2"/>
    </xf>
    <xf numFmtId="199" fontId="19" fillId="38" borderId="12" xfId="0" applyFont="1" applyFill="1" applyBorder="1" applyNumberFormat="1">
      <alignment horizontal="right" vertical="center" wrapText="1"/>
      <protection locked="0"/>
    </xf>
    <xf numFmtId="0" fontId="19" fillId="0" borderId="17" xfId="0" applyFont="1" applyBorder="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lignment horizontal="left" vertical="center" wrapText="1"/>
    </xf>
    <xf numFmtId="0" fontId="19" fillId="0" borderId="0" xfId="0" applyFont="1">
      <alignment vertical="center"/>
    </xf>
    <xf numFmtId="0" fontId="0" fillId="0" borderId="0" xfId="0" applyFont="1">
      <alignment vertical="center"/>
    </xf>
    <xf numFmtId="0" fontId="36" fillId="0" borderId="0" xfId="0" applyFont="1">
      <alignment vertical="center"/>
    </xf>
    <xf numFmtId="0" fontId="19" fillId="0" borderId="0" xfId="0" applyFont="1">
      <alignment vertical="center"/>
    </xf>
    <xf numFmtId="0" fontId="76" fillId="0" borderId="0" xfId="0" applyFont="1">
      <alignment vertical="center"/>
    </xf>
    <xf numFmtId="0" fontId="30" fillId="0" borderId="0" xfId="0" applyFont="1">
      <alignment vertical="center"/>
    </xf>
    <xf numFmtId="0" fontId="19" fillId="0" borderId="0" xfId="0" applyFont="1">
      <alignment vertical="center" wrapText="1"/>
    </xf>
    <xf numFmtId="0" fontId="30" fillId="0" borderId="0" xfId="0" applyFont="1">
      <alignment vertical="center"/>
    </xf>
    <xf numFmtId="0" fontId="76" fillId="0" borderId="0" xfId="0" applyFont="1">
      <alignment vertical="center"/>
    </xf>
    <xf numFmtId="0" fontId="42" fillId="0" borderId="0" xfId="0" applyFont="1">
      <alignment vertical="center"/>
    </xf>
    <xf numFmtId="0" fontId="19" fillId="0" borderId="0" xfId="0" applyFon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lignment vertical="center"/>
    </xf>
    <xf numFmtId="0" fontId="0" fillId="0" borderId="0" xfId="0" applyFont="1">
      <alignment vertical="center"/>
    </xf>
    <xf numFmtId="0" fontId="37" fillId="0" borderId="0" xfId="0" applyFont="1">
      <alignment horizontal="center" vertical="center"/>
    </xf>
    <xf numFmtId="0" fontId="19" fillId="0" borderId="0" xfId="0" applyFont="1">
      <alignment horizontal="center" vertical="center" wrapText="1"/>
    </xf>
    <xf numFmtId="0" fontId="19" fillId="36" borderId="14" xfId="0" applyFont="1" applyFill="1" applyBorder="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lignment vertical="center"/>
    </xf>
    <xf numFmtId="0" fontId="64" fillId="0" borderId="0" xfId="0" applyFont="1">
      <alignment vertical="center"/>
    </xf>
    <xf numFmtId="0" fontId="0" fillId="0" borderId="0" xfId="0" applyFon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lignment vertical="top"/>
    </xf>
    <xf numFmtId="49" fontId="20" fillId="0" borderId="0" xfId="0" applyFont="1" applyNumberFormat="1">
      <alignment horizontal="center" vertical="center" wrapText="1"/>
    </xf>
    <xf numFmtId="0" fontId="37" fillId="0" borderId="0" xfId="0" applyFont="1">
      <alignment vertical="center" wrapText="1"/>
    </xf>
    <xf numFmtId="0" fontId="20" fillId="0" borderId="0" xfId="0" applyFont="1">
      <alignment vertical="center" wrapText="1"/>
    </xf>
    <xf numFmtId="0" fontId="19" fillId="0" borderId="0" xfId="0" applyFont="1">
      <alignment horizontal="center" vertical="center" wrapText="1"/>
    </xf>
    <xf numFmtId="0" fontId="39" fillId="0" borderId="0" xfId="0" applyFon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lignment vertical="center" wrapText="1"/>
    </xf>
    <xf numFmtId="0" fontId="37" fillId="0" borderId="0" xfId="0" applyFont="1">
      <alignment vertical="center" wrapText="1"/>
    </xf>
    <xf numFmtId="0" fontId="20" fillId="0" borderId="0" xfId="0" applyFont="1">
      <alignment vertical="center" wrapText="1"/>
    </xf>
    <xf numFmtId="49" fontId="53" fillId="0" borderId="0" xfId="0" applyFont="1" applyNumberFormat="1">
      <alignment horizontal="center" vertical="center" wrapText="1"/>
    </xf>
    <xf numFmtId="0" fontId="53" fillId="0" borderId="0" xfId="0" applyFont="1">
      <alignment vertical="center" wrapText="1"/>
    </xf>
    <xf numFmtId="0" fontId="0" fillId="0" borderId="0" xfId="0" applyFon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lignment vertical="top"/>
    </xf>
    <xf numFmtId="0" fontId="64" fillId="0" borderId="0" xfId="0" applyFont="1">
      <alignment vertical="top"/>
    </xf>
    <xf numFmtId="0" fontId="77" fillId="0" borderId="0" xfId="0" applyFont="1">
      <alignment vertical="top"/>
    </xf>
    <xf numFmtId="0" fontId="36" fillId="0" borderId="0" xfId="0" applyFont="1">
      <alignment horizontal="center" vertical="center" wrapText="1"/>
    </xf>
    <xf numFmtId="0" fontId="37" fillId="0" borderId="0" xfId="0" applyFont="1">
      <alignment horizontal="center" vertical="center" wrapText="1"/>
    </xf>
    <xf numFmtId="0" fontId="37" fillId="0" borderId="12" xfId="0" applyFont="1" applyBorder="1">
      <alignment horizontal="left" vertical="center" wrapText="1"/>
    </xf>
    <xf numFmtId="0" fontId="3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lignment horizontal="left" vertical="center" indent="1"/>
    </xf>
    <xf numFmtId="0" fontId="19" fillId="0" borderId="0" xfId="0" applyFont="1">
      <alignment horizontal="right" vertical="center" wrapText="1"/>
    </xf>
    <xf numFmtId="0" fontId="0" fillId="0" borderId="0" xfId="0" applyFont="1">
      <alignment vertical="center"/>
    </xf>
    <xf numFmtId="0" fontId="34" fillId="0" borderId="0" xfId="0" applyFont="1">
      <alignment horizontal="right" vertical="top" wrapText="1"/>
    </xf>
    <xf numFmtId="0" fontId="19" fillId="0" borderId="0" xfId="0" applyFont="1">
      <alignment vertical="top" wrapText="1"/>
    </xf>
    <xf numFmtId="0" fontId="19" fillId="0" borderId="0" xfId="0" applyFont="1">
      <alignment horizontal="left" vertical="top" wrapText="1"/>
    </xf>
    <xf numFmtId="0" fontId="24" fillId="0" borderId="0" xfId="0" applyFon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lignment vertical="top"/>
    </xf>
    <xf numFmtId="49" fontId="19" fillId="0" borderId="31" xfId="0" applyFont="1" applyBorder="1" applyNumberFormat="1">
      <alignment horizontal="center" vertical="center" wrapText="1"/>
    </xf>
    <xf numFmtId="0" fontId="19" fillId="0" borderId="31" xfId="0" applyFont="1" applyBorder="1">
      <alignment horizontal="left" vertical="center" wrapText="1"/>
    </xf>
    <xf numFmtId="0" fontId="19" fillId="0" borderId="31" xfId="0" applyFont="1" applyBorder="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lignment horizontal="left" vertical="center" wrapText="1" indent="2"/>
    </xf>
    <xf numFmtId="0" fontId="36" fillId="0" borderId="0" xfId="0" applyFont="1">
      <alignment horizontal="center" vertical="center" wrapText="1"/>
    </xf>
    <xf numFmtId="49" fontId="19" fillId="0" borderId="0" xfId="0" applyFont="1" applyNumberFormat="1">
      <alignment horizontal="left" vertical="center" wrapText="1"/>
    </xf>
    <xf numFmtId="0" fontId="73" fillId="0" borderId="0" xfId="0" applyFont="1">
      <alignment vertical="center" wrapText="1"/>
    </xf>
    <xf numFmtId="0" fontId="73" fillId="0" borderId="0" xfId="0" applyFont="1">
      <alignment vertical="center" wrapText="1"/>
    </xf>
    <xf numFmtId="0" fontId="19" fillId="0" borderId="0" xfId="0" applyFont="1">
      <alignment horizontal="left" vertical="center" wrapText="1"/>
    </xf>
    <xf numFmtId="0" fontId="19" fillId="0" borderId="12" xfId="0" applyFont="1" applyBorder="1">
      <alignment horizontal="left" vertical="center" wrapText="1"/>
    </xf>
    <xf numFmtId="3" fontId="19" fillId="0" borderId="14" xfId="0" applyFont="1" applyBorder="1" applyNumberFormat="1">
      <alignment vertical="center" wrapText="1"/>
    </xf>
    <xf numFmtId="0" fontId="19" fillId="0" borderId="13" xfId="0" applyFont="1" applyBorder="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lignment horizontal="center" vertical="center" wrapText="1"/>
    </xf>
    <xf numFmtId="0" fontId="19" fillId="0" borderId="14" xfId="0" applyFont="1" applyBorder="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19"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lignment vertical="center" wrapText="1"/>
    </xf>
    <xf numFmtId="0" fontId="19" fillId="0" borderId="15" xfId="0" applyFont="1" applyBorder="1">
      <alignment horizontal="center" vertical="center" wrapText="1"/>
    </xf>
    <xf numFmtId="0" fontId="19" fillId="36" borderId="27" xfId="0" applyFont="1" applyFill="1" applyBorder="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lignment horizontal="left" vertical="center" wrapText="1" indent="1"/>
    </xf>
    <xf numFmtId="0" fontId="78" fillId="0" borderId="0" xfId="0" applyFont="1">
      <alignment vertical="center" wrapText="1"/>
    </xf>
    <xf numFmtId="0" fontId="78" fillId="34" borderId="0" xfId="0" applyFont="1" applyFill="1">
      <alignment horizontal="center" vertical="center" wrapText="1"/>
    </xf>
    <xf numFmtId="0" fontId="78" fillId="34" borderId="0" xfId="0" applyFont="1" applyFill="1">
      <alignment horizontal="right"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0" fontId="19" fillId="0" borderId="12" xfId="0" applyFont="1" applyBorder="1">
      <alignment horizontal="center" vertical="center" wrapText="1"/>
    </xf>
    <xf numFmtId="0" fontId="36" fillId="0" borderId="0" xfId="0" applyFont="1">
      <alignment horizontal="center" vertical="top"/>
    </xf>
    <xf numFmtId="0" fontId="19" fillId="0" borderId="12" xfId="0" applyFont="1" applyBorder="1">
      <alignment horizontal="left" vertical="center" wrapText="1"/>
    </xf>
    <xf numFmtId="0" fontId="37" fillId="0" borderId="0" xfId="0" applyFont="1">
      <alignment horizontal="center" vertical="center" wrapText="1"/>
    </xf>
    <xf numFmtId="0" fontId="19" fillId="0" borderId="12" xfId="0" applyFont="1" applyBorder="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lignment vertical="center" wrapText="1"/>
    </xf>
    <xf numFmtId="0" fontId="19" fillId="0" borderId="0" xfId="0" applyFont="1">
      <alignment horizontal="right" vertical="center"/>
    </xf>
    <xf numFmtId="49" fontId="43" fillId="36" borderId="13" xfId="0" applyFont="1" applyFill="1" applyBorder="1" applyNumberFormat="1">
      <alignment horizontal="left" vertical="center" wrapText="1"/>
    </xf>
    <xf numFmtId="0" fontId="79" fillId="0" borderId="0" xfId="0" applyFont="1">
      <alignment vertical="center"/>
    </xf>
    <xf numFmtId="0" fontId="80" fillId="0" borderId="0" xfId="0" applyFon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lignment vertical="center" wrapText="1"/>
    </xf>
    <xf numFmtId="0" fontId="19" fillId="0" borderId="13" xfId="0" applyFont="1" applyBorder="1">
      <alignment horizontal="left" vertical="center" wrapText="1" indent="1"/>
    </xf>
    <xf numFmtId="0" fontId="62" fillId="0" borderId="22" xfId="0" applyFont="1" applyBorder="1">
      <alignment vertical="center" wrapText="1"/>
    </xf>
    <xf numFmtId="4" fontId="19" fillId="0" borderId="31" xfId="0" applyFont="1" applyBorder="1" applyNumberFormat="1">
      <alignment horizontal="center" vertical="center" wrapText="1"/>
    </xf>
    <xf numFmtId="0" fontId="19" fillId="0" borderId="33" xfId="0" applyFont="1" applyBorder="1">
      <alignment horizontal="left" vertical="center" wrapText="1"/>
    </xf>
    <xf numFmtId="0" fontId="19" fillId="0" borderId="33" xfId="0" applyFont="1" applyBorder="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lignment horizontal="left" vertical="center" wrapText="1"/>
    </xf>
    <xf numFmtId="0" fontId="37" fillId="0" borderId="0" xfId="0" applyFont="1">
      <alignment horizontal="left" vertical="center" wrapText="1"/>
    </xf>
    <xf numFmtId="0" fontId="44" fillId="0" borderId="0" xfId="0" applyFont="1">
      <alignment horizontal="left" vertical="center" wrapText="1"/>
    </xf>
    <xf numFmtId="0" fontId="20" fillId="0" borderId="0" xfId="0" applyFont="1">
      <alignment horizontal="left" vertical="center" wrapText="1"/>
    </xf>
    <xf numFmtId="49" fontId="19" fillId="0" borderId="0" xfId="0" applyFont="1" applyNumberFormat="1">
      <alignment horizontal="center" vertical="center" wrapText="1"/>
    </xf>
    <xf numFmtId="0" fontId="74" fillId="0" borderId="0" xfId="0" applyFont="1">
      <alignment vertical="center" wrapText="1"/>
    </xf>
    <xf numFmtId="0" fontId="37" fillId="0" borderId="0" xfId="0" applyFont="1">
      <alignment vertical="center" wrapText="1"/>
    </xf>
    <xf numFmtId="0" fontId="44" fillId="0" borderId="0" xfId="0" applyFont="1">
      <alignment vertical="center" wrapText="1"/>
    </xf>
    <xf numFmtId="0" fontId="20" fillId="0" borderId="0" xfId="0" applyFont="1">
      <alignment vertical="center" wrapText="1"/>
    </xf>
    <xf numFmtId="49" fontId="39" fillId="0" borderId="0" xfId="0" applyFont="1" applyNumberFormat="1">
      <alignment horizontal="center" vertical="center"/>
    </xf>
    <xf numFmtId="0" fontId="19" fillId="0" borderId="0" xfId="0" applyFon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lignment horizontal="left" vertical="center" wrapText="1"/>
    </xf>
    <xf numFmtId="0" fontId="19" fillId="0" borderId="20" xfId="0" applyFont="1" applyBorder="1">
      <alignment vertical="center" wrapText="1"/>
    </xf>
    <xf numFmtId="0" fontId="25" fillId="0" borderId="0" xfId="0" applyFont="1">
      <alignment horizontal="center" vertical="center" wrapText="1"/>
    </xf>
    <xf numFmtId="0" fontId="19" fillId="36" borderId="15" xfId="0" applyFont="1" applyFill="1" applyBorder="1">
      <alignment vertical="center" wrapText="1"/>
    </xf>
    <xf numFmtId="0" fontId="36" fillId="36" borderId="13" xfId="0" applyFont="1" applyFill="1" applyBorder="1">
      <alignment vertical="center" wrapText="1"/>
    </xf>
    <xf numFmtId="199" fontId="19" fillId="33" borderId="12" xfId="0" applyFont="1" applyFill="1" applyBorder="1" applyNumberFormat="1">
      <alignment horizontal="right" vertical="center" wrapText="1"/>
    </xf>
    <xf numFmtId="0" fontId="0" fillId="0" borderId="0" xfId="0" applyFont="1">
      <alignment vertical="center"/>
    </xf>
    <xf numFmtId="4" fontId="19" fillId="35" borderId="12" xfId="0" applyFont="1" applyFill="1" applyBorder="1" applyNumberFormat="1">
      <alignment horizontal="right" vertical="center" wrapText="1"/>
      <protection locked="0"/>
    </xf>
    <xf numFmtId="0" fontId="60" fillId="34" borderId="0" xfId="0" applyFont="1" applyFill="1">
      <alignment horizontal="right" vertical="center"/>
    </xf>
    <xf numFmtId="49" fontId="0" fillId="0" borderId="12" xfId="0" applyFont="1" applyBorder="1" applyNumberFormat="1">
      <alignment vertical="top"/>
    </xf>
    <xf numFmtId="0" fontId="19"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lignment vertical="center" wrapText="1"/>
    </xf>
    <xf numFmtId="0" fontId="20" fillId="0" borderId="0" xfId="0" applyFont="1">
      <alignment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49" fontId="19" fillId="0" borderId="0" xfId="0" applyFont="1" applyNumberFormat="1">
      <alignment vertical="center" wrapText="1"/>
    </xf>
    <xf numFmtId="0" fontId="19"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0" fontId="19" fillId="0" borderId="0" xfId="0" applyFont="1">
      <alignment horizontal="center" vertical="center" wrapText="1"/>
    </xf>
    <xf numFmtId="0" fontId="39" fillId="34" borderId="0" xfId="0" applyFont="1" applyFill="1">
      <alignment vertical="center" wrapText="1"/>
    </xf>
    <xf numFmtId="0" fontId="43" fillId="0" borderId="0" xfId="0" applyFont="1">
      <alignment horizontal="left" vertical="center" indent="1"/>
    </xf>
    <xf numFmtId="0" fontId="0" fillId="34" borderId="0" xfId="0" applyFont="1" applyFill="1">
      <alignment horizontal="right" vertical="center" wrapText="1" indent="1"/>
    </xf>
    <xf numFmtId="0" fontId="0" fillId="34" borderId="0" xfId="0" applyFont="1" applyFill="1">
      <alignment horizontal="left" vertical="center" wrapText="1" indent="1"/>
    </xf>
    <xf numFmtId="14" fontId="19" fillId="34" borderId="0" xfId="0" applyFont="1" applyFill="1" applyNumberFormat="1">
      <alignment horizontal="center" vertical="center" wrapText="1"/>
    </xf>
    <xf numFmtId="197"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lignment horizontal="center" vertical="center" wrapText="1"/>
    </xf>
    <xf numFmtId="49" fontId="0" fillId="44" borderId="12" xfId="0" applyFont="1" applyFill="1" applyBorder="1" applyNumberFormat="1">
      <alignment vertical="top"/>
    </xf>
    <xf numFmtId="0" fontId="25" fillId="0" borderId="0" xfId="0" applyFont="1">
      <alignment horizontal="center" vertical="center" wrapText="1"/>
    </xf>
    <xf numFmtId="0" fontId="81" fillId="0" borderId="0" xfId="0" applyFont="1">
      <alignment horizontal="left" vertical="center" wrapText="1"/>
    </xf>
    <xf numFmtId="0" fontId="81" fillId="0" borderId="0" xfId="0" applyFon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lignment horizontal="left" vertical="center" wrapText="1"/>
    </xf>
    <xf numFmtId="14" fontId="83" fillId="0" borderId="12" xfId="0" applyFont="1" applyBorder="1" applyNumberFormat="1">
      <alignment horizontal="left" vertical="center" wrapText="1"/>
    </xf>
    <xf numFmtId="0" fontId="37" fillId="0" borderId="0" xfId="0" applyFon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lignment horizontal="center" vertical="center" wrapText="1"/>
    </xf>
    <xf numFmtId="49" fontId="19" fillId="0" borderId="14" xfId="0" applyFont="1" applyBorder="1" applyNumberFormat="1">
      <alignment horizontal="center" vertical="top"/>
    </xf>
    <xf numFmtId="0" fontId="24" fillId="0" borderId="24" xfId="0" applyFont="1" applyBorder="1">
      <alignment vertical="top" wrapText="1"/>
    </xf>
    <xf numFmtId="0" fontId="24" fillId="0" borderId="0" xfId="0" applyFont="1">
      <alignment vertical="top" wrapText="1"/>
    </xf>
    <xf numFmtId="0" fontId="37" fillId="0" borderId="12" xfId="0" applyFont="1" applyBorder="1">
      <alignment horizontal="center" vertical="center" wrapText="1"/>
    </xf>
    <xf numFmtId="0" fontId="36" fillId="0" borderId="23" xfId="0" applyFont="1" applyBorder="1">
      <alignment horizontal="center" vertical="center" wrapText="1"/>
    </xf>
    <xf numFmtId="0" fontId="37" fillId="0" borderId="12" xfId="0" applyFont="1" applyBorder="1">
      <alignment horizontal="center" vertical="center"/>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19" fillId="0" borderId="14"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lignment vertical="center"/>
    </xf>
    <xf numFmtId="0" fontId="19" fillId="0" borderId="13" xfId="0" applyFont="1" applyBorder="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lignment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25" fillId="34" borderId="0" xfId="0" applyFont="1" applyFill="1">
      <alignment horizontal="center" vertical="center" wrapText="1"/>
    </xf>
    <xf numFmtId="0" fontId="19" fillId="34"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24" fillId="34" borderId="15" xfId="0" applyFont="1" applyFill="1" applyBorder="1" applyNumberFormat="1">
      <alignment horizontal="center" vertical="center" wrapText="1"/>
    </xf>
    <xf numFmtId="0" fontId="19" fillId="0" borderId="0" xfId="0" applyFont="1">
      <alignment horizontal="left" vertical="center" wrapText="1" indent="1"/>
    </xf>
    <xf numFmtId="0" fontId="71" fillId="0" borderId="17" xfId="0" applyFont="1" applyBorder="1">
      <alignment horizontal="center" vertical="center" wrapText="1"/>
    </xf>
    <xf numFmtId="49" fontId="36" fillId="0" borderId="0" xfId="0" applyFont="1" applyNumberFormat="1">
      <alignment vertical="top"/>
    </xf>
    <xf numFmtId="0" fontId="8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lignment horizontal="left" vertical="top" wrapText="1"/>
    </xf>
    <xf numFmtId="0" fontId="85" fillId="40" borderId="12" xfId="0" applyFont="1" applyFill="1" applyBorder="1">
      <alignment horizontal="right" vertical="center" wrapText="1"/>
    </xf>
    <xf numFmtId="49" fontId="85" fillId="0" borderId="12" xfId="0" applyFont="1" applyBorder="1" applyNumberFormat="1">
      <alignment vertical="top" wrapText="1"/>
    </xf>
    <xf numFmtId="0" fontId="85" fillId="0" borderId="17" xfId="0" applyFont="1" applyBorder="1">
      <alignment horizontal="left" vertical="top" wrapText="1"/>
    </xf>
    <xf numFmtId="0" fontId="85" fillId="0" borderId="13" xfId="0" applyFont="1" applyBorder="1">
      <alignment horizontal="left" vertical="top" wrapText="1"/>
    </xf>
    <xf numFmtId="0" fontId="85" fillId="0" borderId="12" xfId="0" applyFont="1" applyBorder="1">
      <alignment vertical="top" wrapText="1"/>
    </xf>
    <xf numFmtId="0" fontId="81" fillId="40" borderId="12" xfId="0" applyFont="1" applyFill="1" applyBorder="1">
      <alignment horizontal="center" vertical="top" wrapText="1"/>
    </xf>
    <xf numFmtId="0" fontId="85" fillId="0" borderId="0" xfId="0" applyFont="1">
      <alignment vertical="top" wrapText="1"/>
    </xf>
    <xf numFmtId="0" fontId="80" fillId="0" borderId="0" xfId="0" applyFont="1">
      <alignment vertical="center" wrapText="1"/>
    </xf>
    <xf numFmtId="0" fontId="35" fillId="0" borderId="0" xfId="0" applyFon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lignment horizontal="center" vertical="center" wrapText="1"/>
    </xf>
    <xf numFmtId="0" fontId="25" fillId="34" borderId="24" xfId="0" applyFont="1" applyFill="1" applyBorder="1">
      <alignment vertical="top" wrapText="1"/>
    </xf>
    <xf numFmtId="0" fontId="25" fillId="34" borderId="0" xfId="0" applyFont="1" applyFill="1">
      <alignment vertical="top" wrapText="1"/>
    </xf>
    <xf numFmtId="14" fontId="19" fillId="39" borderId="29" xfId="0" applyFont="1" applyFill="1" applyBorder="1" applyNumberFormat="1">
      <alignment horizontal="left" vertical="center" wrapText="1"/>
    </xf>
    <xf numFmtId="0" fontId="37" fillId="34" borderId="12" xfId="0" applyFont="1" applyFill="1" applyBorder="1">
      <alignment horizontal="center" vertical="center" wrapText="1"/>
    </xf>
    <xf numFmtId="0" fontId="29" fillId="36" borderId="15" xfId="0" applyFont="1" applyFill="1" applyBorder="1">
      <alignment vertical="center"/>
    </xf>
    <xf numFmtId="0" fontId="38" fillId="0" borderId="0" xfId="0" applyFont="1">
      <alignment vertical="center"/>
    </xf>
    <xf numFmtId="0" fontId="37" fillId="0" borderId="0" xfId="0" applyFon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lignment vertical="center" wrapText="1"/>
    </xf>
    <xf numFmtId="0" fontId="86" fillId="0" borderId="0" xfId="0" applyFont="1">
      <alignment vertical="center" wrapText="1"/>
    </xf>
    <xf numFmtId="0" fontId="36" fillId="0" borderId="0" xfId="0" applyFont="1">
      <alignment vertical="center" wrapText="1"/>
    </xf>
    <xf numFmtId="0" fontId="78" fillId="0" borderId="0" xfId="0" applyFont="1">
      <alignment horizontal="center" vertical="center" wrapText="1"/>
    </xf>
    <xf numFmtId="0" fontId="36" fillId="0" borderId="0" xfId="0" applyFon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0" fillId="38" borderId="14" xfId="0" applyFont="1" applyFill="1" applyBorder="1">
      <alignment horizontal="left" vertical="center" wrapText="1" indent="2"/>
      <protection locked="0"/>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87" fillId="34" borderId="0" xfId="0" applyFont="1" applyFill="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lignment vertical="top" wrapText="1"/>
    </xf>
    <xf numFmtId="0" fontId="85" fillId="0" borderId="36" xfId="0" applyFont="1" applyBorder="1">
      <alignment horizontal="left" vertical="top" wrapText="1"/>
    </xf>
    <xf numFmtId="49" fontId="85"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lignment horizontal="center" vertical="center" wrapText="1"/>
    </xf>
    <xf numFmtId="0" fontId="19" fillId="34" borderId="17" xfId="0" applyFont="1" applyFill="1" applyBorder="1">
      <alignment horizontal="center" vertical="center" wrapText="1"/>
    </xf>
    <xf numFmtId="49" fontId="88" fillId="0" borderId="0" xfId="0" applyFont="1" applyNumberFormat="1">
      <alignment horizontal="center" vertical="center" wrapText="1"/>
    </xf>
    <xf numFmtId="0" fontId="19"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0" fontId="19" fillId="0" borderId="38" xfId="0" applyFont="1" applyBorder="1">
      <alignment vertical="center" wrapText="1"/>
    </xf>
    <xf numFmtId="0" fontId="36"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49" fontId="19" fillId="0" borderId="0" xfId="0" applyFont="1" applyNumberFormat="1">
      <alignment vertical="top"/>
    </xf>
    <xf numFmtId="0" fontId="19" fillId="0" borderId="0" xfId="0" applyFont="1">
      <alignment vertical="center"/>
    </xf>
    <xf numFmtId="0" fontId="0" fillId="34" borderId="17" xfId="0" applyFont="1" applyFill="1" applyBorder="1">
      <alignment horizontal="center" vertical="center" wrapText="1"/>
    </xf>
    <xf numFmtId="0" fontId="0" fillId="34" borderId="37" xfId="0" applyFont="1" applyFill="1" applyBorder="1">
      <alignment horizontal="center" vertical="center" wrapText="1"/>
    </xf>
    <xf numFmtId="0" fontId="19" fillId="36" borderId="29" xfId="0" applyFont="1" applyFill="1" applyBorder="1">
      <alignment vertical="center" wrapText="1"/>
    </xf>
    <xf numFmtId="0" fontId="19" fillId="0" borderId="0" xfId="0" applyFont="1">
      <alignment vertical="center" wrapText="1"/>
    </xf>
    <xf numFmtId="0" fontId="19" fillId="34" borderId="39" xfId="0" applyFont="1" applyFill="1" applyBorder="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0" fontId="34" fillId="0" borderId="0" xfId="0" applyFont="1">
      <alignment horizontal="center" vertical="center" wrapText="1"/>
    </xf>
    <xf numFmtId="49" fontId="89"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8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lignment vertical="top" wrapText="1"/>
    </xf>
    <xf numFmtId="0" fontId="19" fillId="0" borderId="14"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lignment horizontal="center" vertical="center" wrapText="1"/>
    </xf>
    <xf numFmtId="49" fontId="81" fillId="0" borderId="12" xfId="0" applyFont="1" applyBorder="1" applyNumberFormat="1">
      <alignment horizontal="center" vertical="center" wrapText="1"/>
    </xf>
    <xf numFmtId="0" fontId="81" fillId="0" borderId="12" xfId="0" applyFont="1" applyBorder="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lignment vertical="center" wrapText="1"/>
    </xf>
    <xf numFmtId="0" fontId="81" fillId="0" borderId="17" xfId="0" applyFont="1" applyBorder="1">
      <alignment vertical="center" wrapText="1"/>
    </xf>
    <xf numFmtId="0" fontId="81" fillId="0" borderId="23" xfId="0" applyFont="1" applyBorder="1">
      <alignment vertical="center" wrapText="1"/>
    </xf>
    <xf numFmtId="49" fontId="81" fillId="0" borderId="12" xfId="0" applyFont="1" applyBorder="1" applyNumberFormat="1">
      <alignment horizontal="left" vertical="top" wrapText="1"/>
    </xf>
    <xf numFmtId="199" fontId="19" fillId="38" borderId="17" xfId="0" applyFont="1" applyFill="1" applyBorder="1" applyNumberFormat="1">
      <alignment horizontal="right" vertical="center" wrapText="1"/>
      <protection locked="0"/>
    </xf>
    <xf numFmtId="0" fontId="19" fillId="0" borderId="13" xfId="0" applyFont="1" applyBorder="1">
      <alignment horizontal="center" vertical="center" wrapText="1"/>
    </xf>
    <xf numFmtId="0" fontId="19" fillId="0" borderId="20" xfId="0" applyFont="1" applyBorder="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lignment horizontal="center" vertical="center" wrapText="1"/>
    </xf>
    <xf numFmtId="4" fontId="19" fillId="38" borderId="13" xfId="0" applyFont="1" applyFill="1" applyBorder="1" applyNumberFormat="1">
      <alignment horizontal="right" vertical="center" wrapText="1"/>
      <protection locked="0"/>
    </xf>
    <xf numFmtId="199" fontId="19" fillId="38" borderId="13" xfId="0" applyFont="1" applyFill="1" applyBorder="1" applyNumberFormat="1">
      <alignment horizontal="right" vertical="center" wrapText="1"/>
      <protection locked="0"/>
    </xf>
    <xf numFmtId="199"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lignment vertical="center" wrapText="1"/>
    </xf>
    <xf numFmtId="0" fontId="37" fillId="0" borderId="12" xfId="0" applyFont="1" applyBorder="1">
      <alignment horizontal="left" vertical="center" wrapText="1" indent="3"/>
    </xf>
    <xf numFmtId="49" fontId="37" fillId="0" borderId="12" xfId="0" applyFont="1" applyBorder="1" applyNumberFormat="1">
      <alignment vertical="center" wrapText="1"/>
    </xf>
    <xf numFmtId="0" fontId="37" fillId="0" borderId="17" xfId="0" applyFont="1" applyBorder="1">
      <alignment vertical="top" wrapText="1"/>
    </xf>
    <xf numFmtId="0" fontId="37" fillId="0" borderId="36" xfId="0" applyFont="1" applyBorder="1">
      <alignment horizontal="left" vertical="center" wrapText="1" indent="1"/>
    </xf>
    <xf numFmtId="0" fontId="37" fillId="0" borderId="36" xfId="0" applyFont="1" applyBorder="1">
      <alignment horizontal="center" vertical="center" wrapText="1"/>
    </xf>
    <xf numFmtId="0" fontId="37" fillId="0" borderId="17" xfId="0" applyFont="1" applyBorder="1">
      <alignment vertical="center" wrapText="1"/>
    </xf>
    <xf numFmtId="0" fontId="37" fillId="0" borderId="23" xfId="0" applyFont="1" applyBorder="1">
      <alignment horizontal="left" vertical="center" wrapText="1" indent="1"/>
    </xf>
    <xf numFmtId="0" fontId="37" fillId="0" borderId="17" xfId="0" applyFont="1" applyBorder="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lignment horizontal="center" vertical="center" wrapText="1"/>
    </xf>
    <xf numFmtId="0" fontId="19" fillId="0" borderId="23" xfId="0" applyFont="1" applyBorder="1">
      <alignment vertical="top" wrapText="1"/>
    </xf>
    <xf numFmtId="0" fontId="19" fillId="0" borderId="23" xfId="0" applyFont="1" applyBorder="1">
      <alignment vertical="top" wrapText="1"/>
    </xf>
    <xf numFmtId="0" fontId="81" fillId="0" borderId="14" xfId="0" applyFont="1" applyBorder="1">
      <alignment horizontal="center" vertical="center"/>
    </xf>
    <xf numFmtId="49" fontId="37" fillId="34" borderId="12" xfId="0" applyFont="1" applyFill="1" applyBorder="1" applyNumberFormat="1">
      <alignment horizontal="center" vertical="center"/>
    </xf>
    <xf numFmtId="0" fontId="37" fillId="34" borderId="12" xfId="0" applyFont="1" applyFill="1" applyBorder="1">
      <alignment horizontal="left" vertical="center" wrapText="1" indent="1"/>
    </xf>
    <xf numFmtId="0" fontId="37" fillId="34" borderId="12" xfId="0" applyFont="1" applyFill="1" applyBorder="1">
      <alignment vertical="center" wrapText="1"/>
    </xf>
    <xf numFmtId="49" fontId="37" fillId="0" borderId="12" xfId="0" applyFont="1" applyBorder="1" applyNumberFormat="1">
      <alignment horizontal="center" vertical="center"/>
    </xf>
    <xf numFmtId="0" fontId="37" fillId="0" borderId="12" xfId="0" applyFont="1" applyBorder="1">
      <alignment horizontal="left" vertical="center" wrapText="1" indent="1"/>
    </xf>
    <xf numFmtId="0" fontId="37" fillId="0" borderId="12" xfId="0" applyFont="1" applyBorder="1">
      <alignment horizontal="left" vertical="center" wrapText="1"/>
    </xf>
    <xf numFmtId="0" fontId="37" fillId="0" borderId="12" xfId="0" applyFont="1" applyBorder="1">
      <alignment vertical="center" wrapText="1"/>
    </xf>
    <xf numFmtId="0" fontId="37" fillId="0" borderId="12" xfId="0" applyFont="1" applyBorder="1">
      <alignment horizontal="center" vertical="center" wrapText="1"/>
    </xf>
    <xf numFmtId="0" fontId="37" fillId="34" borderId="12" xfId="0" applyFont="1" applyFill="1" applyBorder="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0" fillId="0" borderId="0" xfId="0" applyFont="1">
      <alignment horizontal="center" vertical="center" wrapText="1"/>
    </xf>
    <xf numFmtId="0" fontId="91" fillId="34" borderId="0" xfId="0" applyFont="1" applyFill="1">
      <alignment horizontal="right" vertical="center"/>
    </xf>
    <xf numFmtId="0" fontId="19" fillId="0" borderId="23" xfId="0" applyFont="1" applyBorder="1">
      <alignment horizontal="left" vertical="center" wrapText="1"/>
    </xf>
    <xf numFmtId="49" fontId="36" fillId="0" borderId="0" xfId="0" applyFont="1" applyNumberFormat="1">
      <alignment horizontal="center" vertical="center" wrapText="1"/>
    </xf>
    <xf numFmtId="0" fontId="37" fillId="0" borderId="27" xfId="0" applyFont="1" applyBorder="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lignment vertical="center" wrapText="1"/>
    </xf>
    <xf numFmtId="0" fontId="19" fillId="0" borderId="32" xfId="0" applyFont="1" applyBorder="1">
      <alignment horizontal="left" vertical="center" wrapText="1"/>
    </xf>
    <xf numFmtId="49" fontId="36" fillId="0" borderId="0" xfId="0" applyFont="1" applyNumberFormat="1">
      <alignment horizontal="center" vertical="center" wrapText="1"/>
    </xf>
    <xf numFmtId="0" fontId="19" fillId="0" borderId="0" xfId="0" applyFont="1">
      <alignment vertical="top" wrapText="1"/>
    </xf>
    <xf numFmtId="0" fontId="19" fillId="0" borderId="0" xfId="0" applyFont="1">
      <alignment vertical="top"/>
    </xf>
    <xf numFmtId="4" fontId="19" fillId="0" borderId="40" xfId="0" applyFont="1" applyBorder="1" applyNumberFormat="1">
      <alignment horizontal="center" vertical="center" wrapText="1"/>
    </xf>
    <xf numFmtId="0" fontId="37" fillId="0" borderId="0" xfId="0" applyFont="1">
      <alignment horizontal="center" vertical="top"/>
    </xf>
    <xf numFmtId="49" fontId="37" fillId="0" borderId="0" xfId="0" applyFont="1" applyNumberFormat="1">
      <alignment vertical="top"/>
    </xf>
    <xf numFmtId="0" fontId="37" fillId="0" borderId="23" xfId="0" applyFont="1" applyBorder="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lignment horizontal="left" vertical="center" indent="1"/>
    </xf>
    <xf numFmtId="49" fontId="29" fillId="0" borderId="19" xfId="0" applyFont="1" applyBorder="1" applyNumberFormat="1">
      <alignment horizontal="right" vertical="center"/>
    </xf>
    <xf numFmtId="0" fontId="19" fillId="39" borderId="12" xfId="0" applyFont="1" applyFill="1" applyBorder="1">
      <alignment horizontal="left" vertical="center" wrapText="1" indent="1"/>
    </xf>
    <xf numFmtId="0" fontId="19" fillId="0" borderId="12" xfId="0" applyFont="1" applyBorder="1">
      <alignment horizontal="center" vertical="center" wrapText="1"/>
    </xf>
    <xf numFmtId="0" fontId="37" fillId="0" borderId="0" xfId="0" applyFon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lignment horizontal="left" vertical="center" wrapText="1" indent="1"/>
    </xf>
    <xf numFmtId="0" fontId="19" fillId="0" borderId="0" xfId="0" applyFon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lignment vertical="center" wrapText="1"/>
    </xf>
    <xf numFmtId="0" fontId="19" fillId="0" borderId="27" xfId="0" applyFont="1" applyBorder="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lignment horizontal="left" vertical="center"/>
    </xf>
    <xf numFmtId="0" fontId="0" fillId="48" borderId="12" xfId="0" applyFont="1" applyFill="1" applyBorder="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19" fillId="0" borderId="13" xfId="0" applyFont="1" applyBorder="1">
      <alignment vertical="center"/>
    </xf>
    <xf numFmtId="49" fontId="19" fillId="0" borderId="12" xfId="0" applyFont="1" applyBorder="1" applyNumberFormat="1">
      <alignment vertical="center"/>
    </xf>
    <xf numFmtId="0" fontId="0" fillId="0" borderId="0" xfId="0" applyFont="1">
      <alignment vertical="top"/>
    </xf>
    <xf numFmtId="0" fontId="19" fillId="0" borderId="12" xfId="0" applyFont="1" applyBorder="1">
      <alignment vertical="top"/>
    </xf>
    <xf numFmtId="49" fontId="19" fillId="0" borderId="12" xfId="0" applyFont="1" applyBorder="1" applyNumberFormat="1">
      <alignment vertical="top"/>
    </xf>
    <xf numFmtId="0" fontId="19" fillId="0" borderId="0" xfId="0" applyFont="1">
      <alignment vertical="center"/>
    </xf>
    <xf numFmtId="49" fontId="19" fillId="0" borderId="14" xfId="0" applyFont="1" applyBorder="1" applyNumberFormat="1">
      <alignment vertical="top"/>
    </xf>
    <xf numFmtId="0" fontId="0" fillId="0" borderId="0" xfId="0" applyFont="1">
      <alignment vertical="center"/>
    </xf>
    <xf numFmtId="0" fontId="19" fillId="0" borderId="0" xfId="0" applyFon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19" fillId="0" borderId="17" xfId="0" applyFont="1" applyBorder="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92" fillId="0" borderId="46" xfId="0" applyFont="1" applyBorder="1">
      <alignment horizontal="center" vertical="center"/>
    </xf>
    <xf numFmtId="0" fontId="0" fillId="0" borderId="46" xfId="0" applyFont="1" applyBorder="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lignment horizontal="center" vertical="center"/>
    </xf>
    <xf numFmtId="0" fontId="0" fillId="0" borderId="31" xfId="0" applyFont="1" applyBorder="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lignment horizontal="right" vertical="center"/>
    </xf>
    <xf numFmtId="0" fontId="93" fillId="0" borderId="47" xfId="0" applyFont="1" applyBorder="1">
      <alignment horizontal="left" vertical="center" indent="1"/>
    </xf>
    <xf numFmtId="0" fontId="93" fillId="0" borderId="48" xfId="0" applyFont="1" applyBorder="1">
      <alignment horizontal="left" vertical="center" indent="1"/>
    </xf>
    <xf numFmtId="0" fontId="93" fillId="0" borderId="49" xfId="0" applyFont="1" applyBorder="1">
      <alignment horizontal="left" vertical="center" indent="1"/>
    </xf>
    <xf numFmtId="0" fontId="19" fillId="34" borderId="0" xfId="0" applyFont="1" applyFill="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49" fontId="88" fillId="0" borderId="0" xfId="0" applyFont="1" applyNumberFormat="1">
      <alignment horizontal="center" vertical="center" wrapText="1"/>
    </xf>
    <xf numFmtId="0" fontId="19" fillId="34" borderId="0" xfId="0" applyFont="1" applyFill="1">
      <alignment vertical="center" wrapText="1"/>
    </xf>
    <xf numFmtId="0" fontId="19" fillId="0" borderId="0" xfId="0" applyFont="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0" fontId="0" fillId="0" borderId="12" xfId="0" applyFont="1" applyBorder="1">
      <alignment horizontal="center" vertical="center" wrapText="1"/>
    </xf>
    <xf numFmtId="0" fontId="19" fillId="0" borderId="0" xfId="0" applyFont="1">
      <alignment horizontal="left" vertical="center" wrapText="1" indent="3"/>
    </xf>
    <xf numFmtId="0" fontId="19" fillId="0" borderId="0" xfId="0" applyFont="1">
      <alignment horizontal="left" vertical="center" wrapText="1" indent="3"/>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12" xfId="0" applyFont="1" applyBorder="1">
      <alignment horizontal="center" vertical="center" wrapText="1"/>
    </xf>
    <xf numFmtId="0" fontId="19" fillId="0" borderId="0" xfId="0" applyFont="1">
      <alignment vertical="center" wrapText="1"/>
    </xf>
    <xf numFmtId="0" fontId="19" fillId="34" borderId="39" xfId="0" applyFont="1" applyFill="1" applyBorder="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0" xfId="0" applyFont="1">
      <alignment vertical="center" wrapText="1"/>
    </xf>
    <xf numFmtId="0" fontId="19" fillId="0" borderId="0" xfId="0" applyFont="1">
      <alignment vertical="center" wrapText="1"/>
    </xf>
    <xf numFmtId="0" fontId="19" fillId="34" borderId="39" xfId="0" applyFont="1" applyFill="1" applyBorder="1">
      <alignment vertical="center" wrapText="1"/>
    </xf>
    <xf numFmtId="0" fontId="19" fillId="38" borderId="12" xfId="0" applyFont="1" applyFill="1" applyBorder="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49" fontId="94" fillId="0" borderId="16" xfId="0" applyFont="1" applyBorder="1" applyNumberFormat="1">
      <alignment vertical="top"/>
    </xf>
    <xf numFmtId="0" fontId="0" fillId="0" borderId="0" xfId="0" applyFont="1">
      <alignment vertical="top"/>
    </xf>
    <xf numFmtId="0" fontId="36" fillId="0" borderId="0" xfId="0" applyFon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lignment horizontal="left" vertical="center"/>
    </xf>
    <xf numFmtId="0" fontId="0" fillId="0" borderId="14" xfId="0" applyFont="1" applyBorder="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lignment vertical="center" wrapText="1"/>
    </xf>
    <xf numFmtId="0" fontId="19" fillId="0" borderId="38" xfId="0" applyFont="1" applyBorder="1">
      <alignment vertical="center" wrapText="1"/>
    </xf>
    <xf numFmtId="0" fontId="19" fillId="0" borderId="0" xfId="0" applyFont="1">
      <alignment vertical="center"/>
    </xf>
    <xf numFmtId="0" fontId="19" fillId="0" borderId="0" xfId="0" applyFont="1">
      <alignment vertical="center" wrapText="1"/>
    </xf>
    <xf numFmtId="0" fontId="19" fillId="36" borderId="50" xfId="0" applyFont="1" applyFill="1" applyBorder="1">
      <alignment vertical="center" wrapText="1"/>
    </xf>
    <xf numFmtId="0" fontId="19" fillId="36" borderId="51" xfId="0" applyFont="1" applyFill="1" applyBorder="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4" fillId="39" borderId="12" xfId="0" applyFont="1" applyFill="1" applyBorder="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19" fillId="36" borderId="53" xfId="0" applyFont="1" applyFill="1" applyBorder="1">
      <alignment vertical="center" wrapText="1"/>
    </xf>
    <xf numFmtId="0" fontId="19" fillId="34" borderId="39" xfId="0" applyFont="1" applyFill="1" applyBorder="1">
      <alignment vertical="center" wrapText="1"/>
    </xf>
    <xf numFmtId="0" fontId="0" fillId="0" borderId="49" xfId="0" applyFont="1" applyBorder="1">
      <alignment horizontal="left" vertical="center" wrapText="1"/>
    </xf>
    <xf numFmtId="0" fontId="19" fillId="0" borderId="49" xfId="0" applyFont="1" applyBorder="1">
      <alignment vertical="center" wrapText="1"/>
    </xf>
    <xf numFmtId="0" fontId="19" fillId="0" borderId="54" xfId="0" applyFont="1" applyBorder="1">
      <alignment vertical="center" wrapText="1"/>
    </xf>
    <xf numFmtId="0" fontId="19" fillId="0" borderId="55" xfId="0" applyFont="1" applyBorder="1">
      <alignment vertical="center" wrapText="1"/>
    </xf>
    <xf numFmtId="0" fontId="19" fillId="39" borderId="12" xfId="0" applyFont="1" applyFill="1" applyBorder="1">
      <alignment horizontal="left" vertical="center" wrapText="1" indent="1"/>
    </xf>
    <xf numFmtId="0" fontId="0" fillId="36" borderId="50" xfId="0" applyFont="1" applyFill="1" applyBorder="1">
      <alignment horizontal="left" vertical="center"/>
    </xf>
    <xf numFmtId="0" fontId="19" fillId="34" borderId="12" xfId="0" applyFont="1" applyFill="1" applyBorder="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lignment horizontal="right" vertical="center"/>
    </xf>
    <xf numFmtId="0" fontId="19" fillId="0" borderId="17" xfId="0" applyFont="1" applyBorder="1">
      <alignment horizontal="center" vertical="center"/>
    </xf>
    <xf numFmtId="0" fontId="19" fillId="0" borderId="12" xfId="0" applyFont="1" applyBorder="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lignment horizontal="right" vertical="center"/>
    </xf>
    <xf numFmtId="0" fontId="19" fillId="0" borderId="56" xfId="0" applyFont="1" applyBorder="1">
      <alignment horizontal="center" vertical="center"/>
    </xf>
    <xf numFmtId="0" fontId="19" fillId="0" borderId="15" xfId="0" applyFont="1" applyBorder="1">
      <alignment horizontal="right" vertical="center"/>
    </xf>
    <xf numFmtId="0" fontId="19" fillId="0" borderId="13" xfId="0" applyFont="1" applyBorder="1">
      <alignment horizontal="right" vertical="center"/>
    </xf>
    <xf numFmtId="0" fontId="19" fillId="34" borderId="12" xfId="0" applyFont="1" applyFill="1" applyBorder="1">
      <alignment horizontal="center" vertical="center"/>
    </xf>
    <xf numFmtId="0" fontId="19" fillId="39" borderId="12" xfId="0" applyFont="1" applyFill="1" applyBorder="1">
      <alignment horizontal="left" vertical="center" wrapText="1" indent="1"/>
    </xf>
    <xf numFmtId="0" fontId="19" fillId="38" borderId="12" xfId="0" applyFont="1" applyFill="1" applyBorder="1">
      <alignment horizontal="left" vertical="center" wrapText="1" indent="1"/>
      <protection locked="0"/>
    </xf>
    <xf numFmtId="0" fontId="19" fillId="40" borderId="12" xfId="0" applyFont="1" applyFill="1" applyBorder="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lignment horizontal="left" vertical="center" indent="1"/>
      <protection locked="0"/>
    </xf>
    <xf numFmtId="0" fontId="19" fillId="47" borderId="0" xfId="0" applyFont="1" applyFill="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lignment horizontal="center" vertical="center" wrapText="1"/>
    </xf>
    <xf numFmtId="0" fontId="19" fillId="0" borderId="0" xfId="0" applyFont="1">
      <alignment horizontal="right" vertical="center" wrapText="1"/>
    </xf>
    <xf numFmtId="0" fontId="24" fillId="34" borderId="0" xfId="0" applyFont="1" applyFill="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lignment horizontal="left" vertical="center" wrapText="1"/>
    </xf>
    <xf numFmtId="0" fontId="19" fillId="34" borderId="12" xfId="0" applyFont="1" applyFill="1" applyBorder="1">
      <alignment horizontal="left" vertical="center" wrapText="1"/>
    </xf>
    <xf numFmtId="0" fontId="25" fillId="34" borderId="0" xfId="0" applyFont="1" applyFill="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lignment vertical="center" wrapText="1"/>
    </xf>
    <xf numFmtId="49" fontId="37" fillId="0" borderId="0" xfId="0" applyFont="1" applyNumberFormat="1">
      <alignment vertical="top"/>
    </xf>
    <xf numFmtId="0" fontId="3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lignment vertical="center" wrapText="1"/>
    </xf>
    <xf numFmtId="0" fontId="19" fillId="34" borderId="27" xfId="0" applyFont="1" applyFill="1" applyBorder="1">
      <alignment vertical="center" wrapText="1"/>
    </xf>
    <xf numFmtId="0" fontId="37" fillId="34" borderId="19" xfId="0" applyFont="1" applyFill="1" applyBorder="1">
      <alignment horizontal="center" vertical="center" wrapText="1"/>
    </xf>
    <xf numFmtId="49" fontId="63" fillId="0" borderId="0" xfId="0" applyFont="1" applyNumberFormat="1">
      <alignment vertical="center" wrapText="1"/>
    </xf>
    <xf numFmtId="0" fontId="96" fillId="34" borderId="0" xfId="0" applyFont="1" applyFill="1">
      <alignment vertical="center" wrapText="1"/>
    </xf>
    <xf numFmtId="0" fontId="62" fillId="0" borderId="0" xfId="0" applyFont="1">
      <alignment horizontal="left" vertical="center" wrapText="1"/>
    </xf>
    <xf numFmtId="0" fontId="19" fillId="0" borderId="0" xfId="0" applyFont="1">
      <alignment vertical="center"/>
    </xf>
    <xf numFmtId="49" fontId="37" fillId="34" borderId="0" xfId="0" applyFont="1" applyFill="1" applyNumberFormat="1">
      <alignment horizontal="center" vertical="center" wrapText="1"/>
    </xf>
    <xf numFmtId="0" fontId="19" fillId="0" borderId="0" xfId="0" applyFont="1">
      <alignment horizontal="left" vertical="center" wrapText="1"/>
    </xf>
    <xf numFmtId="0" fontId="37" fillId="0" borderId="0" xfId="0" applyFont="1">
      <alignment vertical="center"/>
    </xf>
    <xf numFmtId="0" fontId="19" fillId="0" borderId="0" xfId="0" applyFont="1">
      <alignment horizontal="left" vertical="center" wrapText="1" indent="1"/>
    </xf>
    <xf numFmtId="0" fontId="72" fillId="0" borderId="0" xfId="0" applyFont="1">
      <alignment vertical="center" wrapText="1"/>
    </xf>
    <xf numFmtId="0" fontId="19" fillId="0" borderId="0" xfId="0" applyFon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lignment horizontal="left" vertical="center" wrapText="1" indent="6"/>
    </xf>
    <xf numFmtId="49" fontId="19" fillId="36" borderId="29" xfId="0" applyFont="1" applyFill="1" applyBorder="1" applyNumberFormat="1">
      <alignment horizontal="center" vertical="center" wrapText="1"/>
    </xf>
    <xf numFmtId="0" fontId="37" fillId="0" borderId="0" xfId="0" applyFont="1">
      <alignment vertical="top" wrapText="1"/>
    </xf>
    <xf numFmtId="49" fontId="0" fillId="0" borderId="0" xfId="0" applyFont="1" applyNumberFormat="1">
      <alignment vertical="center" wrapText="1"/>
    </xf>
    <xf numFmtId="0" fontId="97" fillId="34" borderId="0" xfId="0" applyFont="1" applyFill="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98" fontId="19" fillId="35" borderId="12" xfId="0" applyFont="1" applyFill="1" applyBorder="1" applyNumberFormat="1">
      <alignment horizontal="right" vertical="center" wrapText="1"/>
      <protection locked="0"/>
    </xf>
    <xf numFmtId="0" fontId="34" fillId="0" borderId="12" xfId="0" applyFont="1" applyBorder="1">
      <alignment vertical="top" wrapText="1"/>
    </xf>
    <xf numFmtId="0" fontId="19" fillId="39" borderId="12" xfId="0" applyFont="1" applyFill="1" applyBorder="1">
      <alignment horizontal="left" vertical="center" wrapText="1" indent="6"/>
      <protection locked="0"/>
    </xf>
    <xf numFmtId="0" fontId="19" fillId="0" borderId="0" xfId="0" applyFont="1">
      <alignment vertical="center"/>
    </xf>
    <xf numFmtId="0" fontId="98" fillId="0" borderId="0" xfId="0" applyFont="1">
      <alignment vertical="center"/>
    </xf>
    <xf numFmtId="0" fontId="98" fillId="0" borderId="0" xfId="0" applyFont="1">
      <alignment vertical="center"/>
    </xf>
    <xf numFmtId="0" fontId="19" fillId="0" borderId="0" xfId="0" applyFont="1">
      <alignment vertical="center"/>
    </xf>
    <xf numFmtId="0" fontId="19" fillId="0" borderId="0" xfId="0" applyFont="1">
      <alignment vertical="center"/>
    </xf>
    <xf numFmtId="0" fontId="98" fillId="0" borderId="0" xfId="0" applyFont="1">
      <alignment vertical="center"/>
    </xf>
    <xf numFmtId="0" fontId="19" fillId="0" borderId="0" xfId="0" applyFont="1">
      <alignment vertical="center"/>
    </xf>
    <xf numFmtId="0" fontId="19" fillId="0" borderId="0" xfId="0" applyFont="1">
      <alignment vertical="center"/>
    </xf>
    <xf numFmtId="0" fontId="19" fillId="0" borderId="0" xfId="0" applyFont="1">
      <alignment horizontal="left" vertical="center" indent="1"/>
    </xf>
    <xf numFmtId="49" fontId="19" fillId="0" borderId="0" xfId="0" applyFont="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19" fillId="34" borderId="0" xfId="0" applyFont="1" applyFill="1">
      <alignment horizontal="left" vertical="center" wrapText="1"/>
    </xf>
    <xf numFmtId="0" fontId="0" fillId="0" borderId="0" xfId="0" applyFon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lignment horizontal="right" vertical="center"/>
    </xf>
    <xf numFmtId="0" fontId="37" fillId="0" borderId="12" xfId="0" applyFont="1" applyBorder="1">
      <alignment horizontal="center" vertical="center"/>
    </xf>
    <xf numFmtId="0" fontId="0" fillId="0" borderId="0" xfId="0" applyFont="1">
      <alignment vertical="center"/>
    </xf>
    <xf numFmtId="0" fontId="19" fillId="0" borderId="12" xfId="0" applyFont="1" applyBorder="1">
      <alignment horizontal="center" vertical="center" wrapText="1"/>
    </xf>
    <xf numFmtId="0" fontId="0" fillId="0" borderId="0" xfId="0" applyFont="1">
      <alignment horizontal="left" vertical="top" wrapText="1"/>
    </xf>
    <xf numFmtId="49" fontId="19" fillId="0" borderId="0" xfId="0" applyFont="1" applyNumberFormat="1">
      <alignment vertical="center" wrapText="1"/>
    </xf>
    <xf numFmtId="0" fontId="19" fillId="0" borderId="0" xfId="0" applyFont="1">
      <alignment horizontal="right" vertical="center" wrapText="1"/>
    </xf>
    <xf numFmtId="0" fontId="19" fillId="0" borderId="0" xfId="0" applyFont="1">
      <alignment horizontal="left" vertical="top" wrapText="1"/>
    </xf>
    <xf numFmtId="0" fontId="70" fillId="34" borderId="19" xfId="0" applyFont="1" applyFill="1" applyBorder="1">
      <alignment horizontal="center" vertical="center" wrapText="1"/>
    </xf>
    <xf numFmtId="0" fontId="19" fillId="0" borderId="0" xfId="0" applyFont="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0" fontId="44" fillId="47" borderId="0" xfId="0" applyFont="1" applyFill="1">
      <alignment horizontal="left" vertical="center"/>
    </xf>
    <xf numFmtId="49" fontId="19" fillId="0" borderId="20" xfId="0" applyFont="1" applyBorder="1" applyNumberFormat="1">
      <alignment horizontal="left" vertical="center" wrapText="1"/>
    </xf>
    <xf numFmtId="0" fontId="29" fillId="0" borderId="0" xfId="0" applyFont="1">
      <alignment horizontal="left" vertical="center"/>
    </xf>
    <xf numFmtId="0" fontId="29" fillId="0" borderId="24" xfId="0" applyFont="1" applyBorder="1">
      <alignment horizontal="left" vertical="center"/>
    </xf>
    <xf numFmtId="0" fontId="29" fillId="0" borderId="30" xfId="0" applyFont="1" applyBorder="1">
      <alignment horizontal="left" vertical="center"/>
    </xf>
    <xf numFmtId="0" fontId="29" fillId="0" borderId="27" xfId="0" applyFont="1" applyBorder="1">
      <alignment horizontal="left" vertical="center"/>
    </xf>
    <xf numFmtId="0" fontId="0" fillId="0" borderId="27" xfId="0" applyFont="1" applyBorder="1">
      <alignment vertical="center"/>
    </xf>
    <xf numFmtId="0" fontId="29" fillId="0" borderId="29" xfId="0" applyFont="1" applyBorder="1">
      <alignment horizontal="left" vertical="center"/>
    </xf>
    <xf numFmtId="49" fontId="19" fillId="0" borderId="0" xfId="0" applyFont="1" applyNumberFormat="1">
      <alignment vertical="center" wrapText="1"/>
    </xf>
    <xf numFmtId="0" fontId="19" fillId="0" borderId="0" xfId="0" applyFont="1">
      <alignment horizontal="center" vertical="center" wrapText="1"/>
    </xf>
    <xf numFmtId="0" fontId="37" fillId="0" borderId="0" xfId="0" applyFont="1">
      <alignment horizontal="center" vertical="center" wrapText="1"/>
    </xf>
    <xf numFmtId="49" fontId="19" fillId="0" borderId="12" xfId="0" applyFont="1" applyBorder="1" applyNumberFormat="1">
      <alignment horizontal="left" vertical="center" wrapText="1"/>
    </xf>
    <xf numFmtId="0" fontId="34" fillId="0" borderId="17" xfId="0" applyFont="1" applyBorder="1">
      <alignment vertical="top" wrapText="1"/>
    </xf>
    <xf numFmtId="0" fontId="0" fillId="0" borderId="0" xfId="0" applyFont="1">
      <alignment vertical="center"/>
    </xf>
    <xf numFmtId="0" fontId="19" fillId="34" borderId="12" xfId="0" applyFont="1" applyFill="1" applyBorder="1">
      <alignment horizontal="left" vertical="center" wrapText="1"/>
    </xf>
    <xf numFmtId="0" fontId="19" fillId="0" borderId="0" xfId="0" applyFont="1">
      <alignment horizontal="center" vertical="center"/>
    </xf>
    <xf numFmtId="49" fontId="19" fillId="0" borderId="0" xfId="0" applyFont="1" applyNumberFormat="1">
      <alignment vertical="center" wrapText="1"/>
    </xf>
    <xf numFmtId="0" fontId="70" fillId="34" borderId="19" xfId="0" applyFont="1" applyFill="1" applyBorder="1">
      <alignment horizontal="center" vertical="center" wrapText="1"/>
    </xf>
    <xf numFmtId="0" fontId="0" fillId="0" borderId="12" xfId="0" applyFont="1" applyBorder="1">
      <alignment horizontal="center" vertical="center" wrapText="1"/>
    </xf>
    <xf numFmtId="0" fontId="37" fillId="0" borderId="0" xfId="0" applyFont="1">
      <alignment horizontal="left" vertical="center" indent="1"/>
    </xf>
    <xf numFmtId="0" fontId="37" fillId="0" borderId="0" xfId="0" applyFon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lignment vertical="center"/>
    </xf>
    <xf numFmtId="0" fontId="19" fillId="0" borderId="0" xfId="0" applyFont="1">
      <alignment horizontal="center"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0" fontId="19" fillId="0" borderId="0" xfId="0" applyFont="1">
      <alignment horizontal="left" vertical="top"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19" fillId="34" borderId="12" xfId="0" applyFont="1" applyFill="1" applyBorder="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37" fillId="0" borderId="0" xfId="0" applyFont="1">
      <alignment horizontal="center" vertical="center"/>
    </xf>
    <xf numFmtId="0" fontId="19" fillId="0" borderId="0" xfId="0" applyFont="1">
      <alignment horizontal="right" vertical="center" wrapText="1"/>
    </xf>
    <xf numFmtId="0" fontId="70" fillId="34" borderId="0" xfId="0" applyFont="1" applyFill="1">
      <alignment horizontal="center" vertical="center" wrapText="1"/>
    </xf>
    <xf numFmtId="49" fontId="19" fillId="0" borderId="12" xfId="0" applyFont="1" applyBorder="1" applyNumberFormat="1">
      <alignment horizontal="left" vertical="center" wrapText="1"/>
    </xf>
    <xf numFmtId="0" fontId="37" fillId="0" borderId="0" xfId="0" applyFont="1">
      <alignment horizontal="left" vertical="center" indent="1"/>
    </xf>
    <xf numFmtId="49" fontId="97" fillId="0" borderId="0" xfId="0" applyFont="1" applyNumberFormat="1">
      <alignment vertical="top"/>
    </xf>
    <xf numFmtId="49" fontId="19" fillId="0" borderId="12" xfId="0" applyFont="1" applyBorder="1" applyNumberFormat="1">
      <alignment vertical="center" wrapText="1"/>
    </xf>
    <xf numFmtId="0" fontId="37" fillId="0" borderId="0" xfId="0" applyFont="1">
      <alignment horizontal="center" vertical="center"/>
    </xf>
    <xf numFmtId="0" fontId="19" fillId="39" borderId="12" xfId="0" applyFont="1" applyFill="1" applyBorder="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lignment vertical="center"/>
    </xf>
    <xf numFmtId="49" fontId="19" fillId="0" borderId="0" xfId="0" applyFont="1" applyNumberFormat="1">
      <alignment vertical="center" wrapText="1"/>
    </xf>
    <xf numFmtId="0" fontId="19" fillId="0" borderId="17" xfId="0" applyFont="1" applyBorder="1">
      <alignment horizontal="center" vertical="center" wrapText="1"/>
    </xf>
    <xf numFmtId="0" fontId="70" fillId="34" borderId="19"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right" vertical="center" wrapText="1"/>
    </xf>
    <xf numFmtId="0" fontId="19"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98"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lignment horizontal="left" vertical="center" indent="1"/>
    </xf>
    <xf numFmtId="0" fontId="36" fillId="0" borderId="0" xfId="0" applyFont="1">
      <alignment horizontal="center" vertical="center"/>
    </xf>
    <xf numFmtId="0" fontId="36" fillId="0" borderId="0" xfId="0" applyFont="1">
      <alignment horizontal="left" vertical="center" wrapText="1"/>
    </xf>
    <xf numFmtId="0" fontId="36" fillId="0" borderId="0" xfId="0" applyFont="1">
      <alignment vertical="center" wrapText="1"/>
    </xf>
    <xf numFmtId="49" fontId="36" fillId="0" borderId="12" xfId="0" applyFont="1" applyBorder="1" applyNumberFormat="1">
      <alignment vertical="center" wrapText="1"/>
    </xf>
    <xf numFmtId="0" fontId="36" fillId="0" borderId="0" xfId="0" applyFont="1">
      <alignment vertical="center"/>
    </xf>
    <xf numFmtId="0" fontId="36" fillId="0" borderId="0" xfId="0" applyFont="1">
      <alignment horizontal="center" vertical="center"/>
    </xf>
    <xf numFmtId="0" fontId="36" fillId="0" borderId="0" xfId="0" applyFont="1">
      <alignment vertical="center"/>
    </xf>
    <xf numFmtId="0" fontId="59" fillId="0" borderId="0" xfId="0" applyFont="1">
      <alignment vertical="center" wrapText="1"/>
    </xf>
    <xf numFmtId="0" fontId="0" fillId="0" borderId="15" xfId="0" applyFont="1" applyBorder="1">
      <alignment vertical="center"/>
    </xf>
    <xf numFmtId="0" fontId="37" fillId="0" borderId="12" xfId="0" applyFont="1" applyBorder="1">
      <alignment horizontal="center" vertical="center" wrapText="1"/>
    </xf>
    <xf numFmtId="0" fontId="63" fillId="0" borderId="0" xfId="0" applyFont="1">
      <alignment horizontal="left" vertical="center" indent="1"/>
    </xf>
    <xf numFmtId="0" fontId="63" fillId="0" borderId="0" xfId="0" applyFont="1">
      <alignment horizontal="left" vertical="center" indent="1"/>
    </xf>
    <xf numFmtId="0" fontId="37" fillId="0" borderId="12" xfId="0" applyFont="1" applyBorder="1">
      <alignment vertical="center" wrapText="1"/>
    </xf>
    <xf numFmtId="0" fontId="63" fillId="0" borderId="0" xfId="0" applyFont="1">
      <alignment horizontal="center" vertical="center"/>
    </xf>
    <xf numFmtId="0" fontId="63" fillId="0" borderId="0" xfId="0" applyFont="1">
      <alignment horizontal="left" vertical="center" wrapText="1"/>
    </xf>
    <xf numFmtId="49" fontId="63" fillId="0" borderId="0" xfId="0" applyFont="1" applyNumberFormat="1">
      <alignment horizontal="left" vertical="center"/>
    </xf>
    <xf numFmtId="0" fontId="19" fillId="0" borderId="0" xfId="0" applyFont="1">
      <alignment horizontal="center" vertical="center"/>
    </xf>
    <xf numFmtId="0" fontId="63" fillId="0" borderId="0" xfId="0" applyFont="1">
      <alignment horizontal="center" vertical="center"/>
    </xf>
    <xf numFmtId="4" fontId="19" fillId="0" borderId="13" xfId="0" applyFont="1" applyBorder="1" applyNumberFormat="1">
      <alignment horizontal="right" vertical="center" wrapText="1"/>
    </xf>
    <xf numFmtId="0" fontId="37" fillId="0" borderId="12" xfId="0" applyFont="1" applyBorder="1">
      <alignment horizontal="left" vertical="center" wrapText="1" indent="4"/>
    </xf>
    <xf numFmtId="0" fontId="37" fillId="0" borderId="12" xfId="0" applyFont="1" applyBorder="1">
      <alignment horizontal="left" vertical="center" wrapText="1" indent="6"/>
    </xf>
    <xf numFmtId="0" fontId="37" fillId="0" borderId="12" xfId="0" applyFont="1" applyBorder="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lignment horizontal="left" vertical="center" wrapText="1" indent="7"/>
      <protection locked="0"/>
    </xf>
    <xf numFmtId="0" fontId="19" fillId="36" borderId="15" xfId="0" applyFont="1" applyFill="1" applyBorder="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98" fontId="19" fillId="36" borderId="13" xfId="0" applyFont="1" applyFill="1" applyBorder="1" applyNumberFormat="1">
      <alignment horizontal="right" vertical="center" wrapText="1"/>
    </xf>
    <xf numFmtId="0" fontId="19" fillId="39" borderId="12" xfId="0" applyFont="1" applyFill="1" applyBorder="1">
      <alignment horizontal="left" vertical="center" wrapText="1" indent="1"/>
    </xf>
    <xf numFmtId="0" fontId="37" fillId="0" borderId="12" xfId="0" applyFont="1" applyBorder="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lignment horizontal="left" vertical="center" wrapText="1" indent="1"/>
    </xf>
    <xf numFmtId="4" fontId="37" fillId="0" borderId="12" xfId="0" applyFont="1" applyBorder="1" applyNumberFormat="1">
      <alignment horizontal="right" vertical="center" wrapText="1"/>
    </xf>
    <xf numFmtId="198" fontId="37" fillId="0" borderId="12" xfId="0" applyFont="1" applyBorder="1" applyNumberFormat="1">
      <alignment horizontal="right" vertical="center" wrapText="1"/>
    </xf>
    <xf numFmtId="198"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lignment horizontal="center" vertical="center" wrapText="1"/>
    </xf>
    <xf numFmtId="0" fontId="46" fillId="34" borderId="0" xfId="0" applyFont="1" applyFill="1">
      <alignment horizontal="center" vertical="center" wrapText="1"/>
    </xf>
    <xf numFmtId="0" fontId="46"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lignment horizontal="left" vertical="center"/>
    </xf>
    <xf numFmtId="0" fontId="4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29" fillId="36" borderId="29" xfId="0" applyFont="1" applyFill="1" applyBorder="1">
      <alignment horizontal="left" vertical="center"/>
    </xf>
    <xf numFmtId="49" fontId="37" fillId="0" borderId="14" xfId="0" applyFont="1" applyBorder="1" applyNumberFormat="1">
      <alignment horizontal="left" vertical="center" wrapText="1"/>
    </xf>
    <xf numFmtId="0" fontId="37" fillId="0" borderId="14" xfId="0" applyFont="1" applyBorder="1">
      <alignment horizontal="left" vertical="center"/>
    </xf>
    <xf numFmtId="0" fontId="37" fillId="0" borderId="15" xfId="0" applyFont="1" applyBorder="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lignment vertical="center"/>
    </xf>
    <xf numFmtId="0" fontId="100" fillId="0" borderId="0" xfId="0" applyFon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49" fontId="19" fillId="34" borderId="12" xfId="0" applyFont="1" applyFill="1" applyBorder="1" applyNumberFormat="1">
      <alignment horizontal="center" vertical="center" wrapText="1"/>
    </xf>
    <xf numFmtId="0" fontId="37" fillId="0" borderId="0" xfId="0" applyFont="1">
      <alignment horizontal="center" vertical="center"/>
    </xf>
    <xf numFmtId="0" fontId="19" fillId="34" borderId="12" xfId="0" applyFont="1" applyFill="1" applyBorder="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lignment vertical="center"/>
    </xf>
    <xf numFmtId="0" fontId="19" fillId="0" borderId="0" xfId="0" applyFon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lignment horizontal="center" vertical="center" wrapText="1"/>
    </xf>
    <xf numFmtId="0" fontId="0" fillId="34" borderId="12" xfId="0" applyFont="1" applyFill="1" applyBorder="1">
      <alignment horizontal="center" vertical="center" wrapText="1"/>
    </xf>
    <xf numFmtId="0" fontId="19" fillId="34" borderId="24" xfId="0" applyFont="1" applyFill="1" applyBorder="1">
      <alignment horizontal="center"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lignment horizontal="left" vertical="center" wrapText="1"/>
    </xf>
    <xf numFmtId="0" fontId="37" fillId="0" borderId="0" xfId="0" applyFont="1">
      <alignment horizontal="center" vertical="center"/>
    </xf>
    <xf numFmtId="0" fontId="25" fillId="0" borderId="0" xfId="0" applyFont="1">
      <alignment horizontal="center" vertical="center" wrapText="1"/>
    </xf>
    <xf numFmtId="198" fontId="19" fillId="36" borderId="15" xfId="0" applyFont="1" applyFill="1" applyBorder="1" applyNumberFormat="1">
      <alignment horizontal="right" vertical="center" wrapText="1"/>
    </xf>
    <xf numFmtId="0" fontId="101" fillId="0" borderId="0" xfId="0" applyFont="1">
      <alignment vertical="center" wrapText="1"/>
    </xf>
    <xf numFmtId="0" fontId="101" fillId="34" borderId="0" xfId="0" applyFont="1" applyFill="1">
      <alignment horizontal="center" vertical="center" wrapText="1"/>
    </xf>
    <xf numFmtId="0" fontId="37" fillId="34" borderId="12" xfId="0" applyFont="1" applyFill="1" applyBorder="1">
      <alignment horizontal="left" vertical="center" wrapText="1" indent="3"/>
    </xf>
    <xf numFmtId="49" fontId="29" fillId="36" borderId="27" xfId="0" applyFont="1" applyFill="1" applyBorder="1" applyNumberFormat="1">
      <alignment horizontal="left" vertical="center"/>
    </xf>
    <xf numFmtId="0" fontId="101" fillId="0" borderId="0" xfId="0" applyFont="1">
      <alignment horizontal="center" vertical="center" wrapText="1"/>
    </xf>
    <xf numFmtId="49" fontId="37" fillId="0" borderId="0" xfId="0" applyFont="1" applyNumberFormat="1">
      <alignment horizontal="left" vertical="center" wrapText="1" indent="1"/>
    </xf>
    <xf numFmtId="0" fontId="37" fillId="0" borderId="0" xfId="0" applyFont="1">
      <alignment horizontal="left" vertical="center" wrapText="1" indent="4"/>
    </xf>
    <xf numFmtId="0" fontId="37" fillId="0" borderId="0" xfId="0" applyFon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lignment horizontal="left" vertical="center" wrapText="1" indent="1"/>
    </xf>
    <xf numFmtId="0" fontId="36" fillId="0" borderId="0" xfId="0" applyFont="1">
      <alignment horizontal="left" vertical="center"/>
    </xf>
    <xf numFmtId="49" fontId="36" fillId="0" borderId="0" xfId="0" applyFont="1" applyNumberFormat="1">
      <alignment horizontal="left" vertical="center"/>
    </xf>
    <xf numFmtId="0" fontId="36" fillId="0" borderId="0" xfId="0" applyFont="1">
      <alignment horizontal="left" vertical="center"/>
    </xf>
    <xf numFmtId="0" fontId="59" fillId="0" borderId="0" xfId="0" applyFont="1">
      <alignment horizontal="left" vertical="center"/>
    </xf>
    <xf numFmtId="0" fontId="37" fillId="0" borderId="0" xfId="0" applyFon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lignment horizontal="center" vertical="center" wrapText="1"/>
    </xf>
    <xf numFmtId="0" fontId="25" fillId="34" borderId="0" xfId="0" applyFont="1" applyFill="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lignment horizontal="center" vertical="center" wrapText="1"/>
    </xf>
    <xf numFmtId="0" fontId="19" fillId="34" borderId="12" xfId="0" applyFont="1" applyFill="1" applyBorder="1">
      <alignment horizontal="left" vertical="center" wrapText="1" indent="1"/>
    </xf>
    <xf numFmtId="49" fontId="19" fillId="0" borderId="12" xfId="0" applyFont="1" applyBorder="1" applyNumberFormat="1">
      <alignment horizontal="center" vertical="center"/>
    </xf>
    <xf numFmtId="0" fontId="19" fillId="0" borderId="12" xfId="0" applyFont="1" applyBorder="1">
      <alignment horizontal="left" vertical="center" wrapText="1" indent="1"/>
    </xf>
    <xf numFmtId="0" fontId="19" fillId="0" borderId="12" xfId="0" applyFont="1" applyBorder="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lignment horizontal="left" vertical="center" wrapText="1"/>
    </xf>
    <xf numFmtId="0" fontId="37" fillId="34" borderId="12" xfId="0" applyFont="1" applyFill="1" applyBorder="1">
      <alignment horizontal="center" vertical="center"/>
    </xf>
    <xf numFmtId="0" fontId="63" fillId="34" borderId="0" xfId="0" applyFont="1" applyFill="1">
      <alignment vertical="center" wrapText="1"/>
    </xf>
    <xf numFmtId="0" fontId="57" fillId="34" borderId="0" xfId="0" applyFont="1" applyFill="1"/>
    <xf numFmtId="49" fontId="19" fillId="35" borderId="12" xfId="0" applyFont="1" applyFill="1" applyBorder="1" applyNumberFormat="1">
      <alignment horizontal="left" vertical="center" wrapText="1"/>
      <protection locked="0"/>
    </xf>
    <xf numFmtId="0" fontId="74" fillId="34" borderId="0" xfId="0" applyFont="1" applyFill="1"/>
    <xf numFmtId="0" fontId="58" fillId="34" borderId="0" xfId="0" applyFont="1" applyFill="1"/>
    <xf numFmtId="14" fontId="19" fillId="38" borderId="23" xfId="0" applyFont="1" applyFill="1" applyBorder="1" applyNumberFormat="1">
      <alignment horizontal="left" vertical="center" wrapText="1" indent="1"/>
      <protection locked="0"/>
    </xf>
    <xf numFmtId="0" fontId="102" fillId="0" borderId="0" xfId="0" applyFont="1">
      <alignment vertical="center"/>
    </xf>
    <xf numFmtId="0" fontId="102" fillId="0" borderId="0" xfId="0" applyFont="1">
      <alignment vertical="center" wrapText="1"/>
    </xf>
    <xf numFmtId="197"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lignment horizontal="left" vertical="center" wrapText="1" indent="1"/>
    </xf>
    <xf numFmtId="197"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lignment horizontal="center" vertical="center" wrapText="1"/>
    </xf>
    <xf numFmtId="0" fontId="37" fillId="0" borderId="0" xfId="0" applyFont="1">
      <alignment horizontal="center" vertical="center"/>
    </xf>
    <xf numFmtId="0" fontId="37" fillId="0" borderId="0" xfId="0" applyFont="1">
      <alignment horizontal="center" vertical="center"/>
    </xf>
    <xf numFmtId="0" fontId="45" fillId="0" borderId="0" xfId="0" applyFont="1">
      <alignment horizontal="center" vertical="center"/>
    </xf>
    <xf numFmtId="0" fontId="31" fillId="0" borderId="0" xfId="0" applyFont="1">
      <alignment horizontal="center" vertical="center" wrapText="1"/>
    </xf>
    <xf numFmtId="14" fontId="19" fillId="39" borderId="12" xfId="0" applyFont="1" applyFill="1" applyBorder="1" applyNumberFormat="1">
      <alignment horizontal="left" vertical="center" wrapText="1"/>
    </xf>
    <xf numFmtId="197" fontId="19" fillId="0" borderId="37" xfId="0" applyFont="1" applyBorder="1" applyNumberFormat="1">
      <alignment horizontal="center" vertical="center" wrapText="1"/>
    </xf>
    <xf numFmtId="0" fontId="19" fillId="38" borderId="12" xfId="0" applyFont="1" applyFill="1" applyBorder="1">
      <alignment horizontal="center" vertical="center" wrapText="1"/>
      <protection locked="0"/>
    </xf>
    <xf numFmtId="0" fontId="36" fillId="34" borderId="0" xfId="0" applyFont="1" applyFill="1"/>
    <xf numFmtId="197" fontId="34" fillId="0" borderId="58" xfId="0" applyFont="1" applyBorder="1" applyNumberFormat="1">
      <alignment horizontal="center" vertical="center" wrapText="1"/>
    </xf>
    <xf numFmtId="197"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lignment horizontal="right" vertical="center" wrapText="1" indent="1"/>
    </xf>
    <xf numFmtId="0" fontId="19" fillId="33" borderId="14" xfId="0" applyFont="1" applyFill="1" applyBorder="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lignment vertical="center"/>
    </xf>
    <xf numFmtId="0" fontId="19" fillId="0" borderId="36" xfId="0" applyFont="1" applyBorder="1">
      <alignment horizontal="center" vertical="center" wrapText="1"/>
    </xf>
    <xf numFmtId="0" fontId="19" fillId="0" borderId="37" xfId="0" applyFont="1" applyBorder="1">
      <alignment horizontal="center" vertical="center" wrapText="1"/>
    </xf>
    <xf numFmtId="0" fontId="19" fillId="0" borderId="17" xfId="0" applyFont="1" applyBorder="1">
      <alignment horizontal="center" vertical="center" wrapText="1"/>
    </xf>
    <xf numFmtId="0" fontId="19" fillId="0" borderId="22" xfId="0" applyFont="1" applyBorder="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lignment horizontal="left" vertical="center" wrapText="1"/>
    </xf>
    <xf numFmtId="49" fontId="19" fillId="0" borderId="36" xfId="0" applyFont="1" applyBorder="1" applyNumberFormat="1">
      <alignment vertical="center" wrapText="1"/>
    </xf>
    <xf numFmtId="0" fontId="19" fillId="0" borderId="23" xfId="0" applyFont="1" applyBorder="1">
      <alignment horizontal="left" vertical="center" wrapText="1"/>
    </xf>
    <xf numFmtId="0" fontId="29" fillId="0" borderId="23" xfId="0" applyFont="1" applyBorder="1">
      <alignment horizontal="left" vertical="center"/>
    </xf>
    <xf numFmtId="0" fontId="29" fillId="36" borderId="14" xfId="0" applyFont="1" applyFill="1" applyBorder="1">
      <alignment horizontal="left" vertical="center"/>
    </xf>
    <xf numFmtId="0" fontId="29" fillId="0" borderId="36" xfId="0" applyFont="1" applyBorder="1">
      <alignment horizontal="left" vertical="center"/>
    </xf>
    <xf numFmtId="0" fontId="29" fillId="36" borderId="37" xfId="0" applyFont="1" applyFill="1" applyBorder="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lignment horizontal="center" vertical="center" wrapText="1"/>
    </xf>
    <xf numFmtId="49" fontId="36" fillId="0" borderId="0" xfId="0" applyFont="1" applyNumberFormat="1">
      <alignment horizontal="center" vertical="center"/>
    </xf>
    <xf numFmtId="0" fontId="103" fillId="0" borderId="0" xfId="0" applyFont="1">
      <alignment vertical="center" wrapText="1"/>
    </xf>
    <xf numFmtId="0" fontId="104" fillId="0" borderId="0" xfId="0" applyFont="1">
      <alignment vertical="center" wrapText="1"/>
    </xf>
    <xf numFmtId="0" fontId="19" fillId="0" borderId="17" xfId="0" applyFont="1" applyBorder="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lignment horizontal="left" vertical="center" wrapText="1"/>
    </xf>
    <xf numFmtId="0" fontId="19" fillId="0" borderId="0" xfId="0" applyFon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lignment horizontal="left" vertical="center" wrapText="1"/>
    </xf>
    <xf numFmtId="0" fontId="29" fillId="0" borderId="0" xfId="0" applyFont="1">
      <alignment horizontal="left" vertical="center"/>
    </xf>
    <xf numFmtId="49" fontId="25" fillId="0" borderId="0" xfId="0" applyFont="1" applyNumberFormat="1">
      <alignment horizontal="center" vertical="center" wrapText="1"/>
    </xf>
    <xf numFmtId="0" fontId="29" fillId="0" borderId="0" xfId="0" applyFon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lignment vertical="center"/>
    </xf>
    <xf numFmtId="49" fontId="0" fillId="0" borderId="12" xfId="0" applyFont="1" applyBorder="1" applyNumberFormat="1">
      <alignment horizontal="left" vertical="center" wrapText="1" indent="1"/>
    </xf>
    <xf numFmtId="0" fontId="19" fillId="0" borderId="0" xfId="0" applyFont="1">
      <alignment vertical="center" wrapText="1"/>
    </xf>
    <xf numFmtId="0" fontId="20" fillId="0" borderId="0" xfId="0" applyFont="1">
      <alignment vertical="center" wrapText="1"/>
    </xf>
    <xf numFmtId="0" fontId="31" fillId="0" borderId="0" xfId="0" applyFont="1">
      <alignment vertical="center" wrapText="1"/>
    </xf>
    <xf numFmtId="0" fontId="19" fillId="0" borderId="0" xfId="0" applyFont="1">
      <alignment horizontal="left" vertical="center" wrapText="1"/>
    </xf>
    <xf numFmtId="0" fontId="48" fillId="0" borderId="0" xfId="0" applyFont="1">
      <alignment vertical="center" wrapText="1"/>
    </xf>
    <xf numFmtId="0" fontId="50" fillId="0" borderId="0" xfId="0" applyFont="1">
      <alignment vertical="center" wrapText="1"/>
    </xf>
    <xf numFmtId="0" fontId="78" fillId="0" borderId="0" xfId="0" applyFont="1">
      <alignment vertical="center" wrapText="1"/>
    </xf>
    <xf numFmtId="0" fontId="37" fillId="0" borderId="0" xfId="0" applyFont="1">
      <alignment vertical="center" wrapText="1"/>
    </xf>
    <xf numFmtId="0" fontId="54" fillId="0" borderId="0" xfId="0" applyFont="1">
      <alignment vertical="center" wrapText="1"/>
    </xf>
    <xf numFmtId="49" fontId="19" fillId="0" borderId="12" xfId="0" applyFont="1" applyBorder="1" applyNumberFormat="1">
      <alignment horizontal="center" vertical="center" wrapText="1"/>
    </xf>
    <xf numFmtId="0" fontId="25" fillId="34" borderId="12" xfId="0" applyFont="1" applyFill="1" applyBorder="1">
      <alignment horizontal="center" vertical="center" wrapText="1"/>
    </xf>
    <xf numFmtId="0" fontId="19" fillId="0" borderId="0" xfId="0" applyFont="1">
      <alignment vertical="center" wrapText="1"/>
    </xf>
    <xf numFmtId="0" fontId="25" fillId="34" borderId="0" xfId="0" applyFont="1" applyFill="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lignment vertical="center" wrapText="1"/>
    </xf>
    <xf numFmtId="49" fontId="19" fillId="38" borderId="12" xfId="0" applyFont="1" applyFill="1" applyBorder="1" applyNumberFormat="1">
      <alignment horizontal="left" vertical="center" wrapText="1"/>
      <protection locked="0"/>
    </xf>
    <xf numFmtId="0" fontId="37" fillId="0" borderId="0" xfId="0" applyFont="1">
      <alignment vertical="center"/>
    </xf>
    <xf numFmtId="0" fontId="25" fillId="34" borderId="12" xfId="0" applyFont="1" applyFill="1" applyBorder="1">
      <alignment horizontal="center" vertical="center" wrapText="1"/>
    </xf>
    <xf numFmtId="0" fontId="36" fillId="0" borderId="22" xfId="0" applyFont="1" applyBorder="1">
      <alignment vertical="center"/>
    </xf>
    <xf numFmtId="0" fontId="36" fillId="0" borderId="22" xfId="0" applyFont="1" applyBorder="1">
      <alignment vertical="center"/>
    </xf>
    <xf numFmtId="0" fontId="19" fillId="0" borderId="17" xfId="0" applyFont="1" applyBorder="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lignment vertical="center" wrapText="1"/>
    </xf>
    <xf numFmtId="0" fontId="20" fillId="0" borderId="0" xfId="0" applyFont="1">
      <alignment vertical="center" wrapText="1"/>
    </xf>
    <xf numFmtId="0" fontId="25" fillId="0" borderId="0" xfId="0" applyFont="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37" fillId="0" borderId="0" xfId="0" applyFont="1">
      <alignment vertical="center" wrapText="1"/>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44" fillId="0" borderId="0" xfId="0" applyFont="1">
      <alignment vertical="center"/>
    </xf>
    <xf numFmtId="0" fontId="63" fillId="0" borderId="0" xfId="0" applyFont="1">
      <alignment vertical="center" wrapText="1"/>
    </xf>
    <xf numFmtId="0" fontId="37" fillId="0" borderId="0" xfId="0" applyFont="1">
      <alignment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0" xfId="0" applyFont="1">
      <alignment horizontal="left" vertical="top" wrapText="1"/>
    </xf>
    <xf numFmtId="0" fontId="19" fillId="0" borderId="12" xfId="0" applyFont="1" applyBorder="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lignment horizontal="left" vertical="center" wrapText="1" indent="2"/>
    </xf>
    <xf numFmtId="0" fontId="37" fillId="0" borderId="17"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49" fontId="0" fillId="0" borderId="12" xfId="0" applyFont="1" applyBorder="1" applyNumberFormat="1">
      <alignment vertical="center" wrapText="1"/>
    </xf>
    <xf numFmtId="0" fontId="37" fillId="0" borderId="14" xfId="0" applyFont="1" applyBorder="1">
      <alignment vertical="center" wrapText="1"/>
    </xf>
    <xf numFmtId="0" fontId="37" fillId="0" borderId="14" xfId="0" applyFont="1" applyBorder="1">
      <alignment horizontal="left" vertical="top" wrapText="1"/>
    </xf>
    <xf numFmtId="49" fontId="19" fillId="0" borderId="60" xfId="0" applyFont="1" applyBorder="1" applyNumberFormat="1">
      <alignment horizontal="center" vertical="center" wrapText="1"/>
    </xf>
    <xf numFmtId="0" fontId="19" fillId="0" borderId="17" xfId="0" applyFont="1" applyBorder="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lignment horizontal="left" vertical="top" wrapText="1"/>
    </xf>
    <xf numFmtId="0" fontId="19" fillId="0" borderId="0" xfId="0" applyFon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xf numFmtId="0" fontId="19" fillId="0" borderId="0" xfId="0" applyFont="1">
      <alignment vertical="top" wrapText="1"/>
    </xf>
    <xf numFmtId="0" fontId="25" fillId="34" borderId="0" xfId="0" applyFont="1" applyFill="1">
      <alignment horizontal="center" vertical="center" wrapText="1"/>
    </xf>
    <xf numFmtId="0" fontId="0" fillId="34" borderId="23" xfId="0" applyFont="1" applyFill="1" applyBorder="1">
      <alignment vertical="center" wrapText="1"/>
    </xf>
    <xf numFmtId="0" fontId="0" fillId="0" borderId="0" xfId="0" applyFont="1">
      <alignment vertical="top"/>
    </xf>
    <xf numFmtId="49" fontId="20" fillId="46" borderId="0" xfId="0" applyFont="1" applyFill="1" applyNumberFormat="1">
      <alignment horizontal="center" vertical="center"/>
    </xf>
    <xf numFmtId="0" fontId="0" fillId="47" borderId="0" xfId="0" applyFont="1" applyFill="1">
      <alignment horizontal="left" vertical="center"/>
    </xf>
    <xf numFmtId="49" fontId="0" fillId="0" borderId="0" xfId="0" applyFont="1" applyNumberFormat="1">
      <alignment vertical="center"/>
    </xf>
    <xf numFmtId="0" fontId="0" fillId="47" borderId="0" xfId="0" applyFont="1" applyFill="1">
      <alignment horizontal="right" vertical="center"/>
    </xf>
    <xf numFmtId="0" fontId="44" fillId="47" borderId="0" xfId="0" applyFont="1" applyFill="1">
      <alignment horizontal="left" vertical="center"/>
    </xf>
    <xf numFmtId="0" fontId="0" fillId="0" borderId="0" xfId="0" applyFont="1">
      <alignment horizontal="right" vertical="top"/>
    </xf>
    <xf numFmtId="0" fontId="0" fillId="47" borderId="10" xfId="0" applyFont="1" applyFill="1" applyBorder="1">
      <alignment horizontal="center"/>
    </xf>
    <xf numFmtId="0" fontId="0" fillId="0" borderId="10" xfId="0" applyFont="1" applyBorder="1">
      <alignment horizontal="center"/>
    </xf>
    <xf numFmtId="0" fontId="105" fillId="0" borderId="0" xfId="0" applyFon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7" fillId="0" borderId="0" xfId="0" applyFont="1"/>
    <xf numFmtId="0" fontId="92" fillId="0" borderId="0" xfId="0" applyFont="1">
      <alignment horizontal="left" vertical="center" wrapText="1"/>
    </xf>
    <xf numFmtId="49" fontId="107" fillId="0" borderId="0" xfId="0" applyFont="1" applyNumberFormat="1">
      <alignment wrapText="1"/>
    </xf>
    <xf numFmtId="0" fontId="35" fillId="0" borderId="0" xfId="0" applyFont="1">
      <alignment horizontal="left" vertical="top" wrapText="1"/>
    </xf>
    <xf numFmtId="49" fontId="19" fillId="0" borderId="0" xfId="0" applyFont="1" applyNumberFormat="1">
      <alignment vertical="top" wrapText="1"/>
    </xf>
    <xf numFmtId="0" fontId="56" fillId="0" borderId="0" xfId="0" applyFont="1">
      <alignment wrapText="1"/>
    </xf>
    <xf numFmtId="0" fontId="108" fillId="0" borderId="0" xfId="0" applyFont="1">
      <alignment horizontal="left" vertical="center" wrapText="1"/>
    </xf>
    <xf numFmtId="0" fontId="109" fillId="0" borderId="0" xfId="0" applyFont="1">
      <alignment vertical="center" wrapText="1"/>
    </xf>
    <xf numFmtId="0" fontId="56" fillId="0" borderId="38" xfId="0" applyFont="1" applyBorder="1">
      <alignment wrapText="1"/>
    </xf>
    <xf numFmtId="0" fontId="56" fillId="0" borderId="0" xfId="0" applyFont="1"/>
    <xf numFmtId="0" fontId="108" fillId="0" borderId="0" xfId="0" applyFont="1"/>
    <xf numFmtId="0" fontId="110" fillId="0" borderId="0" xfId="0" applyFont="1">
      <alignment wrapText="1"/>
    </xf>
    <xf numFmtId="0" fontId="0" fillId="35" borderId="62" xfId="0" applyFont="1" applyFill="1" applyBorder="1">
      <alignment horizontal="center" vertical="center" wrapText="1"/>
    </xf>
    <xf numFmtId="0" fontId="0" fillId="52" borderId="62" xfId="0" applyFont="1" applyFill="1" applyBorder="1">
      <alignment horizontal="center" vertical="center" wrapText="1"/>
    </xf>
    <xf numFmtId="0" fontId="0" fillId="33" borderId="62" xfId="0" applyFont="1" applyFill="1" applyBorder="1">
      <alignment horizontal="center" vertical="center" wrapText="1"/>
    </xf>
    <xf numFmtId="0" fontId="0" fillId="38" borderId="62" xfId="0" applyFont="1" applyFill="1" applyBorder="1">
      <alignment horizontal="center" vertical="center" wrapText="1"/>
    </xf>
    <xf numFmtId="0" fontId="108" fillId="0" borderId="38" xfId="0" applyFont="1" applyBorder="1">
      <alignment horizontal="left" vertical="center" wrapText="1"/>
    </xf>
    <xf numFmtId="0" fontId="108" fillId="0" borderId="63" xfId="0" applyFont="1" applyBorder="1">
      <alignment horizontal="left" vertical="center" wrapText="1"/>
    </xf>
    <xf numFmtId="0" fontId="110" fillId="0" borderId="0" xfId="0" applyFont="1"/>
    <xf numFmtId="0" fontId="110" fillId="0" borderId="38" xfId="0" applyFont="1" applyBorder="1">
      <alignment wrapText="1"/>
    </xf>
    <xf numFmtId="0" fontId="56" fillId="0" borderId="64" xfId="0" applyFont="1" applyBorder="1">
      <alignment wrapText="1"/>
    </xf>
    <xf numFmtId="0" fontId="56" fillId="0" borderId="39" xfId="0" applyFont="1" applyBorder="1">
      <alignment wrapText="1"/>
    </xf>
    <xf numFmtId="0" fontId="56" fillId="0" borderId="39" xfId="0" applyFont="1" applyBorder="1">
      <alignment vertical="center" wrapText="1"/>
    </xf>
    <xf numFmtId="0" fontId="106" fillId="0" borderId="0" xfId="0" applyFont="1"/>
    <xf numFmtId="0" fontId="24" fillId="0" borderId="24" xfId="0" applyFont="1" applyBorder="1">
      <alignment horizontal="center" vertical="center" wrapText="1"/>
    </xf>
    <xf numFmtId="49" fontId="19" fillId="0" borderId="13" xfId="0" applyFont="1" applyBorder="1" applyNumberFormat="1">
      <alignment horizontal="center" vertical="center" wrapText="1"/>
    </xf>
    <xf numFmtId="49" fontId="111" fillId="0" borderId="0" xfId="0" applyFont="1" applyNumberFormat="1">
      <alignment horizontal="center" vertical="center" wrapText="1"/>
    </xf>
    <xf numFmtId="49" fontId="19" fillId="47" borderId="0" xfId="0" applyFont="1" applyFill="1" applyNumberFormat="1">
      <alignment horizontal="center" vertical="center"/>
    </xf>
    <xf numFmtId="200" fontId="0" fillId="38" borderId="12" xfId="0" applyFont="1" applyFill="1" applyBorder="1" applyNumberFormat="1">
      <alignment horizontal="left" vertical="center" wrapText="1" indent="1"/>
      <protection locked="0"/>
    </xf>
    <xf numFmtId="200" fontId="0" fillId="0" borderId="12" xfId="0" applyFont="1" applyBorder="1" applyNumberFormat="1">
      <alignment horizontal="left" vertical="center" wrapText="1" indent="1"/>
    </xf>
    <xf numFmtId="200" fontId="0" fillId="38" borderId="12" xfId="0" applyFont="1" applyFill="1" applyBorder="1" applyNumberFormat="1">
      <alignment horizontal="center" vertical="center" wrapText="1"/>
      <protection locked="0"/>
    </xf>
    <xf numFmtId="200" fontId="37" fillId="0" borderId="0" xfId="0" applyFont="1" applyNumberFormat="1">
      <alignment horizontal="center" vertical="center" wrapText="1"/>
    </xf>
    <xf numFmtId="200" fontId="37" fillId="0" borderId="12" xfId="0" applyFont="1" applyBorder="1" applyNumberFormat="1">
      <alignment horizontal="center" vertical="center" wrapText="1"/>
    </xf>
    <xf numFmtId="200" fontId="0" fillId="38" borderId="12" xfId="0" applyFont="1" applyFill="1" applyBorder="1" applyNumberFormat="1">
      <alignment horizontal="left" vertical="center" wrapText="1"/>
      <protection locked="0"/>
    </xf>
    <xf numFmtId="200" fontId="0" fillId="35" borderId="12" xfId="0" applyFont="1" applyFill="1" applyBorder="1" applyNumberFormat="1">
      <alignment horizontal="left" vertical="center" wrapText="1" indent="1"/>
      <protection locked="0"/>
    </xf>
    <xf numFmtId="200" fontId="0" fillId="38" borderId="13" xfId="0" applyFont="1" applyFill="1" applyBorder="1" applyNumberFormat="1">
      <alignment horizontal="left" vertical="center" wrapText="1"/>
      <protection locked="0"/>
    </xf>
    <xf numFmtId="0" fontId="19" fillId="0" borderId="0" xfId="0" applyFont="1">
      <alignment horizontal="left" vertical="top" indent="1"/>
    </xf>
    <xf numFmtId="0" fontId="19" fillId="33"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19" fillId="33" borderId="30" xfId="0" applyFont="1" applyFill="1" applyBorder="1">
      <alignment horizontal="left" vertical="top"/>
    </xf>
    <xf numFmtId="0" fontId="19" fillId="0" borderId="12" xfId="0" applyFont="1" applyBorder="1">
      <alignment horizontal="left" vertical="top"/>
    </xf>
    <xf numFmtId="49" fontId="19" fillId="0" borderId="0" xfId="0" applyFont="1" applyNumberFormat="1">
      <alignment horizontal="left" vertical="top"/>
    </xf>
    <xf numFmtId="0" fontId="0" fillId="33" borderId="36" xfId="0" applyFont="1" applyFill="1" applyBorder="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lignment horizontal="center" vertical="top" wrapText="1"/>
    </xf>
    <xf numFmtId="0" fontId="19" fillId="35" borderId="36" xfId="0" applyFont="1" applyFill="1" applyBorder="1">
      <alignment horizontal="left" vertical="top" wrapText="1"/>
      <protection locked="0"/>
    </xf>
    <xf numFmtId="0" fontId="29" fillId="0" borderId="36" xfId="0" applyFont="1" applyBorder="1">
      <alignment horizontal="left" vertical="center"/>
    </xf>
    <xf numFmtId="0" fontId="29" fillId="35" borderId="36" xfId="0" applyFont="1" applyFill="1" applyBorder="1">
      <alignment horizontal="left" vertical="center"/>
      <protection locked="0"/>
    </xf>
    <xf numFmtId="0" fontId="29" fillId="38" borderId="36" xfId="0" applyFont="1" applyFill="1" applyBorder="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lignment horizontal="center" vertical="center" wrapText="1"/>
    </xf>
    <xf numFmtId="0" fontId="0" fillId="34" borderId="12" xfId="0" applyFont="1" applyFill="1" applyBorder="1">
      <alignment vertical="top" wrapText="1"/>
    </xf>
    <xf numFmtId="0" fontId="36" fillId="0" borderId="12" xfId="0" applyFont="1" applyBorder="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lignment horizontal="left" vertical="center" wrapText="1" indent="1"/>
      <protection locked="0"/>
    </xf>
    <xf numFmtId="0" fontId="0" fillId="0" borderId="13" xfId="0" applyFont="1" applyBorder="1">
      <alignment horizontal="center" vertical="center" wrapText="1"/>
    </xf>
    <xf numFmtId="0" fontId="19"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19" fillId="0" borderId="0" xfId="0" applyFont="1" applyNumberFormat="1">
      <alignment horizontal="left" vertical="center" indent="1"/>
    </xf>
    <xf numFmtId="200" fontId="0" fillId="38" borderId="14" xfId="0" applyFont="1" applyFill="1" applyBorder="1" applyNumberFormat="1">
      <alignment horizontal="left" vertical="center" wrapText="1"/>
      <protection locked="0"/>
    </xf>
    <xf numFmtId="200"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lignment horizontal="center" vertical="center" wrapText="1"/>
    </xf>
    <xf numFmtId="0" fontId="37" fillId="0" borderId="0" xfId="0" applyFont="1">
      <alignment horizontal="center" vertical="center" wrapText="1"/>
    </xf>
    <xf numFmtId="0" fontId="34" fillId="0" borderId="12" xfId="0" applyFont="1" applyBorder="1">
      <alignment horizontal="center" vertical="center"/>
    </xf>
    <xf numFmtId="49" fontId="0" fillId="38" borderId="12" xfId="0" applyFont="1" applyFill="1" applyBorder="1" applyNumberFormat="1">
      <alignment horizontal="left" vertical="center" wrapText="1"/>
      <protection locked="0"/>
    </xf>
    <xf numFmtId="0" fontId="36" fillId="0" borderId="0" xfId="0" applyFont="1">
      <alignment horizontal="center" vertical="top"/>
    </xf>
    <xf numFmtId="49" fontId="19" fillId="0" borderId="36" xfId="0" applyFont="1" applyBorder="1" applyNumberFormat="1">
      <alignment horizontal="center" vertical="top" wrapText="1"/>
    </xf>
    <xf numFmtId="0" fontId="19" fillId="0" borderId="12" xfId="0" applyFont="1" applyBorder="1">
      <alignment horizontal="left" vertical="center" wrapText="1"/>
    </xf>
    <xf numFmtId="0" fontId="24" fillId="0" borderId="12" xfId="0" applyFont="1" applyBorder="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200"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36" fillId="0" borderId="0" xfId="0" applyFont="1">
      <alignment horizontal="center" vertical="center" wrapText="1"/>
    </xf>
    <xf numFmtId="0" fontId="0" fillId="0" borderId="12" xfId="0" applyFont="1" applyBorder="1">
      <alignment horizontal="left" vertical="center" wrapText="1"/>
    </xf>
    <xf numFmtId="0" fontId="19" fillId="0" borderId="36" xfId="0" applyFont="1" applyBorder="1">
      <alignment horizontal="center" vertical="center" wrapText="1"/>
    </xf>
    <xf numFmtId="0" fontId="19" fillId="34" borderId="14" xfId="0" applyFont="1" applyFill="1" applyBorder="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lignment horizontal="center" vertical="center" wrapText="1"/>
    </xf>
    <xf numFmtId="0" fontId="34" fillId="0" borderId="13" xfId="0" applyFont="1" applyBorder="1">
      <alignment horizontal="center" vertical="center"/>
    </xf>
    <xf numFmtId="49" fontId="0" fillId="37" borderId="0" xfId="0" applyFont="1" applyFill="1" applyNumberFormat="1">
      <alignment vertical="top"/>
    </xf>
    <xf numFmtId="0" fontId="25" fillId="34" borderId="0" xfId="0" applyFont="1" applyFill="1">
      <alignment horizontal="center" vertical="center" wrapText="1"/>
    </xf>
    <xf numFmtId="0" fontId="25" fillId="34" borderId="0" xfId="0" applyFont="1" applyFill="1">
      <alignment horizontal="center"/>
    </xf>
    <xf numFmtId="0" fontId="25" fillId="0" borderId="0" xfId="0" applyFont="1">
      <alignment horizontal="center" vertical="center" wrapText="1"/>
    </xf>
    <xf numFmtId="0" fontId="3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lignment vertical="top" wrapText="1"/>
    </xf>
    <xf numFmtId="49" fontId="112"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25" fillId="0" borderId="0" xfId="0" applyFon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6" borderId="15" xfId="0" applyFont="1" applyFill="1" applyBorder="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lignment horizontal="left" vertical="center" wrapText="1"/>
      <protection locked="0"/>
    </xf>
    <xf numFmtId="0" fontId="19" fillId="34" borderId="23" xfId="0" applyFont="1" applyFill="1" applyBorder="1">
      <alignment horizontal="center" vertical="center" wrapText="1"/>
    </xf>
    <xf numFmtId="0" fontId="19" fillId="0" borderId="36" xfId="0" applyFont="1" applyBorder="1">
      <alignment horizontal="left" vertical="top" wrapText="1"/>
    </xf>
    <xf numFmtId="0" fontId="0" fillId="0" borderId="13" xfId="0" applyFont="1" applyBorder="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19" fillId="39" borderId="12" xfId="0" applyFont="1" applyFill="1" applyBorder="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lignment horizontal="center" vertical="center" wrapText="1"/>
    </xf>
    <xf numFmtId="0" fontId="19" fillId="39" borderId="14" xfId="0" applyFont="1" applyFill="1" applyBorder="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lignment horizontal="center" vertical="center" wrapText="1"/>
    </xf>
    <xf numFmtId="0" fontId="19" fillId="0" borderId="13" xfId="0" applyFont="1" applyBorder="1">
      <alignment horizontal="center"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left" vertical="center" wrapText="1"/>
    </xf>
    <xf numFmtId="0" fontId="19" fillId="0" borderId="12" xfId="0" applyFont="1" applyBorder="1">
      <alignment horizontal="center" vertical="center" wrapText="1"/>
    </xf>
    <xf numFmtId="0" fontId="36" fillId="0" borderId="0" xfId="0" applyFont="1">
      <alignment horizontal="center" vertical="center" wrapText="1"/>
    </xf>
    <xf numFmtId="0" fontId="36" fillId="0" borderId="12" xfId="0" applyFont="1" applyBorder="1">
      <alignment horizontal="center" vertical="center" wrapText="1"/>
    </xf>
    <xf numFmtId="0" fontId="19" fillId="38" borderId="12" xfId="0" applyFont="1" applyFill="1" applyBorder="1">
      <alignment horizontal="center" vertical="center" wrapText="1"/>
      <protection locked="0"/>
    </xf>
    <xf numFmtId="49" fontId="19" fillId="33" borderId="12" xfId="0" applyFont="1" applyFill="1" applyBorder="1" applyNumberFormat="1">
      <alignment horizontal="center" vertical="center" wrapText="1"/>
    </xf>
    <xf numFmtId="0" fontId="0" fillId="0" borderId="12" xfId="0" applyFont="1" applyBorder="1">
      <alignment horizontal="left" vertical="top" wrapText="1"/>
    </xf>
    <xf numFmtId="14" fontId="19" fillId="39" borderId="12" xfId="0" applyFont="1" applyFill="1" applyBorder="1" applyNumberFormat="1">
      <alignment horizontal="left" vertical="center" wrapText="1" indent="1"/>
    </xf>
    <xf numFmtId="0" fontId="35" fillId="45" borderId="62" xfId="0" applyFont="1" applyFill="1" applyBorder="1">
      <alignment horizontal="right" vertical="center" wrapText="1" indent="1"/>
    </xf>
    <xf numFmtId="0" fontId="35" fillId="45" borderId="65" xfId="0" applyFont="1" applyFill="1" applyBorder="1">
      <alignment horizontal="right" vertical="center" wrapText="1" indent="1"/>
    </xf>
    <xf numFmtId="0" fontId="35" fillId="45" borderId="38" xfId="0" applyFont="1" applyFill="1" applyBorder="1">
      <alignment horizontal="right" vertical="center" wrapText="1" indent="1"/>
    </xf>
    <xf numFmtId="0" fontId="35" fillId="45" borderId="0" xfId="0" applyFont="1" applyFill="1">
      <alignment horizontal="right" vertical="center" wrapText="1" indent="1"/>
    </xf>
    <xf numFmtId="0" fontId="110" fillId="0" borderId="0" xfId="0" applyFont="1">
      <alignment vertical="center" wrapText="1"/>
    </xf>
    <xf numFmtId="0" fontId="35" fillId="45" borderId="66" xfId="0" applyFont="1" applyFill="1" applyBorder="1">
      <alignment horizontal="right" vertical="center" wrapText="1" indent="1"/>
    </xf>
    <xf numFmtId="0" fontId="35" fillId="45" borderId="64" xfId="0" applyFont="1" applyFill="1" applyBorder="1">
      <alignment horizontal="right" vertical="center" wrapText="1" indent="1"/>
    </xf>
    <xf numFmtId="0" fontId="35" fillId="45" borderId="39" xfId="0" applyFont="1" applyFill="1" applyBorder="1">
      <alignment horizontal="right" vertical="center" wrapText="1" indent="1"/>
    </xf>
    <xf numFmtId="0" fontId="110" fillId="0" borderId="0" xfId="0" applyFont="1">
      <alignment vertical="top" wrapText="1"/>
    </xf>
    <xf numFmtId="49" fontId="56" fillId="0" borderId="0" xfId="0" applyFont="1" applyNumberFormat="1">
      <alignment vertical="top" wrapText="1"/>
    </xf>
    <xf numFmtId="0" fontId="92" fillId="0" borderId="0" xfId="0" applyFont="1">
      <alignment vertical="center" wrapText="1"/>
    </xf>
    <xf numFmtId="0" fontId="92" fillId="0" borderId="0" xfId="0" applyFont="1">
      <alignment vertical="center"/>
    </xf>
    <xf numFmtId="0" fontId="35" fillId="54" borderId="67" xfId="0" applyFont="1" applyFill="1" applyBorder="1">
      <alignment horizontal="center" vertical="center" wrapText="1"/>
    </xf>
    <xf numFmtId="0" fontId="35" fillId="54" borderId="68" xfId="0" applyFont="1" applyFill="1" applyBorder="1">
      <alignment horizontal="center" vertical="center" wrapText="1"/>
    </xf>
    <xf numFmtId="0" fontId="35" fillId="54" borderId="69" xfId="0" applyFont="1" applyFill="1" applyBorder="1">
      <alignment horizontal="center" vertical="center" wrapText="1"/>
    </xf>
    <xf numFmtId="0" fontId="110" fillId="0" borderId="38" xfId="0" applyFont="1" applyBorder="1">
      <alignment vertical="center" wrapText="1"/>
    </xf>
    <xf numFmtId="0" fontId="110" fillId="0" borderId="38" xfId="0" applyFont="1" applyBorder="1">
      <alignment horizontal="left" vertical="center" wrapText="1"/>
    </xf>
    <xf numFmtId="0" fontId="110" fillId="0" borderId="0" xfId="0" applyFont="1">
      <alignment horizontal="left" vertical="center" wrapText="1"/>
    </xf>
    <xf numFmtId="0" fontId="19" fillId="0" borderId="13" xfId="0" applyFont="1" applyBorder="1">
      <alignment horizontal="center" vertical="center" wrapText="1"/>
    </xf>
    <xf numFmtId="0" fontId="19" fillId="0" borderId="14" xfId="0" applyFont="1" applyBorder="1">
      <alignment horizontal="center" vertical="center" wrapText="1"/>
    </xf>
    <xf numFmtId="0" fontId="86" fillId="0" borderId="0" xfId="0" applyFont="1">
      <alignment horizontal="left" vertical="center" wrapText="1"/>
    </xf>
    <xf numFmtId="14" fontId="83" fillId="0" borderId="12" xfId="0" applyFont="1" applyBorder="1" applyNumberFormat="1">
      <alignment horizontal="center" vertical="center" wrapText="1"/>
    </xf>
    <xf numFmtId="0" fontId="19" fillId="0" borderId="0" xfId="0" applyFont="1">
      <alignment horizontal="center" vertical="center" wrapText="1"/>
    </xf>
    <xf numFmtId="0" fontId="19" fillId="0" borderId="15" xfId="0" applyFont="1" applyBorder="1">
      <alignment horizontal="left" vertical="center" wrapText="1" inden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19" fillId="0" borderId="29" xfId="0" applyFont="1" applyBorder="1">
      <alignment horizontal="left" vertical="center" indent="1"/>
    </xf>
    <xf numFmtId="0" fontId="19" fillId="0" borderId="23" xfId="0" applyFont="1" applyBorder="1">
      <alignment horizontal="left" vertical="center" indent="1"/>
    </xf>
    <xf numFmtId="0" fontId="19" fillId="0" borderId="30" xfId="0" applyFont="1" applyBorder="1">
      <alignment horizontal="left" vertical="center" indent="1"/>
    </xf>
    <xf numFmtId="0" fontId="19" fillId="0" borderId="0" xfId="0" applyFont="1">
      <alignment horizontal="center" vertical="center" wrapText="1"/>
    </xf>
    <xf numFmtId="0" fontId="19" fillId="41" borderId="0" xfId="0" applyFont="1" applyFill="1">
      <alignment horizontal="center" vertical="center" wrapText="1"/>
    </xf>
    <xf numFmtId="0" fontId="19" fillId="0" borderId="12" xfId="0" applyFont="1" applyBorder="1">
      <alignment horizontal="center" vertical="center" wrapText="1"/>
    </xf>
    <xf numFmtId="0" fontId="65" fillId="0" borderId="37" xfId="0" applyFont="1" applyBorder="1">
      <alignment horizontal="center" vertical="center" wrapText="1"/>
    </xf>
    <xf numFmtId="0" fontId="6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65" fillId="0" borderId="12" xfId="0" applyFont="1" applyBorder="1">
      <alignment horizontal="center" vertical="center" wrapText="1"/>
    </xf>
    <xf numFmtId="0" fontId="19" fillId="0" borderId="72" xfId="0" applyFont="1" applyBorder="1">
      <alignment horizontal="center" vertical="center" wrapText="1"/>
    </xf>
    <xf numFmtId="0" fontId="19" fillId="0" borderId="73" xfId="0" applyFont="1" applyBorder="1">
      <alignment horizontal="center" vertical="center" wrapText="1"/>
    </xf>
    <xf numFmtId="0" fontId="19" fillId="39" borderId="17" xfId="0" applyFont="1" applyFill="1" applyBorder="1">
      <alignment horizontal="left" vertical="center" wrapText="1" indent="1"/>
      <protection locked="0"/>
    </xf>
    <xf numFmtId="0" fontId="19" fillId="39" borderId="23" xfId="0" applyFont="1" applyFill="1" applyBorder="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lignment horizontal="left" vertical="center" wrapText="1" indent="2"/>
    </xf>
    <xf numFmtId="0" fontId="19" fillId="39" borderId="36" xfId="0" applyFont="1" applyFill="1" applyBorder="1">
      <alignment horizontal="left" vertical="center" wrapText="1" indent="2"/>
    </xf>
    <xf numFmtId="0" fontId="19" fillId="39" borderId="23" xfId="0" applyFont="1" applyFill="1" applyBorder="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0" fontId="19" fillId="0" borderId="12" xfId="0" applyFont="1" applyBorder="1">
      <alignment horizontal="left" vertical="top" wrapText="1"/>
    </xf>
    <xf numFmtId="49" fontId="0" fillId="0" borderId="12" xfId="0" applyFont="1" applyBorder="1" applyNumberFormat="1">
      <alignment horizontal="left" vertical="top"/>
    </xf>
    <xf numFmtId="0" fontId="19" fillId="39" borderId="17" xfId="0" applyFont="1" applyFill="1" applyBorder="1">
      <alignment horizontal="center" vertical="top" wrapText="1"/>
    </xf>
    <xf numFmtId="0" fontId="19" fillId="39" borderId="36" xfId="0" applyFont="1" applyFill="1" applyBorder="1">
      <alignment horizontal="center" vertical="top" wrapText="1"/>
    </xf>
    <xf numFmtId="0" fontId="19" fillId="39"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19" fillId="0" borderId="17" xfId="0" applyFont="1" applyBorder="1">
      <alignment horizontal="left" vertical="top" wrapText="1"/>
    </xf>
    <xf numFmtId="0" fontId="19" fillId="0" borderId="36" xfId="0" applyFont="1" applyBorder="1">
      <alignment horizontal="left" vertical="top" wrapText="1"/>
    </xf>
    <xf numFmtId="0" fontId="19" fillId="0" borderId="23" xfId="0" applyFont="1" applyBorder="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lignment horizontal="left" vertical="top" wrapText="1" indent="1"/>
    </xf>
    <xf numFmtId="0" fontId="19" fillId="0" borderId="17" xfId="0" applyFont="1" applyBorder="1">
      <alignment horizontal="left" vertical="top" wrapText="1" indent="1"/>
    </xf>
    <xf numFmtId="0" fontId="19" fillId="0" borderId="37" xfId="0" applyFont="1" applyBorder="1">
      <alignment horizontal="left" vertical="top" wrapText="1" indent="1"/>
    </xf>
    <xf numFmtId="0" fontId="63" fillId="0" borderId="24" xfId="0" applyFont="1" applyBorder="1">
      <alignment horizontal="left" vertical="center" wrapText="1" indent="1"/>
    </xf>
    <xf numFmtId="0" fontId="63" fillId="0" borderId="36" xfId="0" applyFont="1" applyBorder="1">
      <alignment horizontal="left" vertical="center" wrapText="1" indent="1"/>
    </xf>
    <xf numFmtId="0" fontId="63" fillId="0" borderId="22" xfId="0" applyFont="1" applyBorder="1">
      <alignment horizontal="left" vertical="center" wrapText="1" indent="1"/>
    </xf>
    <xf numFmtId="0" fontId="19" fillId="0" borderId="27" xfId="0" applyFont="1" applyBorder="1">
      <alignment horizontal="left" vertical="center" indent="1"/>
    </xf>
    <xf numFmtId="0" fontId="0" fillId="0" borderId="12" xfId="0" applyFont="1" applyBorder="1">
      <alignment horizontal="center" vertical="center" wrapText="1"/>
    </xf>
    <xf numFmtId="0" fontId="19" fillId="0" borderId="19" xfId="0" applyFont="1" applyBorder="1">
      <alignment horizontal="left" vertical="center" wrapText="1" indent="1"/>
    </xf>
    <xf numFmtId="0" fontId="19" fillId="0" borderId="17" xfId="0" applyFont="1" applyBorder="1">
      <alignment horizontal="center" vertical="center" wrapText="1"/>
    </xf>
    <xf numFmtId="0" fontId="19" fillId="0" borderId="37" xfId="0" applyFont="1" applyBorder="1">
      <alignment horizontal="center" vertical="center" wrapText="1"/>
    </xf>
    <xf numFmtId="0" fontId="19" fillId="0" borderId="20" xfId="0" applyFont="1" applyBorder="1">
      <alignment horizontal="center" vertical="center" wrapText="1"/>
    </xf>
    <xf numFmtId="0" fontId="19" fillId="0" borderId="22" xfId="0" applyFont="1" applyBorder="1">
      <alignment horizontal="center" vertical="center" wrapText="1"/>
    </xf>
    <xf numFmtId="0" fontId="19" fillId="0" borderId="24"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center" vertical="center" wrapText="1"/>
    </xf>
    <xf numFmtId="0" fontId="19" fillId="0" borderId="12" xfId="0" applyFont="1" applyBorder="1">
      <alignment horizontal="center" vertical="center" wrapText="1"/>
    </xf>
    <xf numFmtId="0" fontId="19" fillId="0" borderId="36" xfId="0" applyFont="1" applyBorder="1">
      <alignment horizontal="center" vertical="center" wrapText="1"/>
    </xf>
    <xf numFmtId="0" fontId="19" fillId="0" borderId="30" xfId="0" applyFont="1" applyBorder="1">
      <alignment horizontal="center" vertical="center" wrapText="1"/>
    </xf>
    <xf numFmtId="0" fontId="19" fillId="0" borderId="29" xfId="0" applyFont="1" applyBorder="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lignment horizontal="left" vertical="center" wrapText="1"/>
    </xf>
    <xf numFmtId="0" fontId="19" fillId="0" borderId="17" xfId="0" applyFont="1" applyBorder="1">
      <alignment horizontal="left" vertical="center" wrapText="1"/>
    </xf>
    <xf numFmtId="0" fontId="19" fillId="0" borderId="37" xfId="0" applyFont="1" applyBorder="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lignment horizontal="center" vertical="center"/>
    </xf>
    <xf numFmtId="0" fontId="19" fillId="0" borderId="0" xfId="0" applyFont="1">
      <alignment horizontal="center" vertical="center"/>
    </xf>
    <xf numFmtId="0" fontId="29" fillId="0" borderId="27" xfId="0" applyFont="1" applyBorder="1">
      <alignment horizontal="left" vertical="center"/>
    </xf>
    <xf numFmtId="0" fontId="29" fillId="0" borderId="29" xfId="0" applyFont="1" applyBorder="1">
      <alignment horizontal="left" vertical="center"/>
    </xf>
    <xf numFmtId="0" fontId="29" fillId="0" borderId="0" xfId="0" applyFont="1">
      <alignment horizontal="left" vertical="center"/>
    </xf>
    <xf numFmtId="0" fontId="29" fillId="0" borderId="24" xfId="0" applyFont="1" applyBorder="1">
      <alignment horizontal="left" vertical="center"/>
    </xf>
    <xf numFmtId="0" fontId="19" fillId="0" borderId="14" xfId="0" applyFont="1" applyBorder="1">
      <alignment horizontal="left" vertical="center" wrapText="1"/>
    </xf>
    <xf numFmtId="0" fontId="19" fillId="0" borderId="27" xfId="0" applyFont="1" applyBorder="1">
      <alignment horizontal="left" vertical="center" wrapText="1" indent="1"/>
    </xf>
    <xf numFmtId="49" fontId="19" fillId="34" borderId="0" xfId="0" applyFont="1" applyFill="1" applyNumberFormat="1">
      <alignment horizontal="center" vertical="center" wrapText="1"/>
    </xf>
    <xf numFmtId="0" fontId="34" fillId="0" borderId="0" xfId="0" applyFon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lignment horizontal="center" vertical="center" wrapText="1"/>
    </xf>
    <xf numFmtId="0" fontId="34" fillId="0" borderId="0" xfId="0" applyFont="1">
      <alignment horizontal="left" vertical="top" wrapText="1" indent="1"/>
    </xf>
    <xf numFmtId="0" fontId="83" fillId="34" borderId="0" xfId="0" applyFont="1" applyFill="1">
      <alignment horizontal="left" vertical="center" wrapText="1"/>
    </xf>
    <xf numFmtId="0" fontId="0" fillId="34" borderId="12" xfId="0" applyFont="1" applyFill="1" applyBorder="1">
      <alignment horizontal="center" vertical="center" wrapText="1"/>
    </xf>
    <xf numFmtId="0" fontId="19" fillId="34" borderId="12" xfId="0" applyFont="1" applyFill="1" applyBorder="1">
      <alignment horizontal="center" vertical="center" wrapText="1"/>
    </xf>
    <xf numFmtId="0" fontId="19" fillId="34" borderId="24" xfId="0" applyFont="1" applyFill="1" applyBorder="1">
      <alignment horizontal="center" vertical="center" wrapText="1"/>
    </xf>
    <xf numFmtId="0" fontId="19" fillId="34" borderId="17" xfId="0" applyFont="1" applyFill="1" applyBorder="1">
      <alignment horizontal="left" vertical="top" wrapText="1"/>
    </xf>
    <xf numFmtId="0" fontId="19" fillId="34" borderId="36" xfId="0" applyFont="1" applyFill="1" applyBorder="1">
      <alignment horizontal="left" vertical="top" wrapText="1"/>
    </xf>
    <xf numFmtId="0" fontId="19" fillId="34" borderId="23" xfId="0" applyFont="1" applyFill="1" applyBorder="1">
      <alignment horizontal="left" vertical="top"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19" fillId="0" borderId="29" xfId="0" applyFont="1" applyBorder="1">
      <alignment horizontal="left" vertical="center" wrapText="1" indent="1"/>
    </xf>
    <xf numFmtId="0" fontId="19" fillId="0" borderId="23" xfId="0" applyFont="1" applyBorder="1">
      <alignment horizontal="left" vertical="center" wrapText="1" indent="1"/>
    </xf>
    <xf numFmtId="0" fontId="19" fillId="0" borderId="30" xfId="0" applyFont="1" applyBorder="1">
      <alignment horizontal="left" vertical="center" wrapText="1" indent="1"/>
    </xf>
    <xf numFmtId="0" fontId="36" fillId="0" borderId="0" xfId="0" applyFont="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19" fillId="0" borderId="19" xfId="0" applyFont="1" applyBorder="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lignment horizontal="left" vertical="center" wrapText="1"/>
    </xf>
    <xf numFmtId="0" fontId="19" fillId="39" borderId="27" xfId="0" applyFont="1" applyFill="1" applyBorder="1">
      <alignment horizontal="left" vertical="center" wrapText="1"/>
    </xf>
    <xf numFmtId="0" fontId="19" fillId="0" borderId="23" xfId="0" applyFont="1" applyBorder="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0" fillId="0" borderId="36" xfId="0" applyFont="1" applyBorder="1">
      <alignment horizontal="left" vertical="top" wrapText="1"/>
    </xf>
    <xf numFmtId="0" fontId="19" fillId="39" borderId="14" xfId="0" applyFont="1" applyFill="1" applyBorder="1">
      <alignment horizontal="left" vertical="center" wrapText="1"/>
    </xf>
    <xf numFmtId="0" fontId="19" fillId="39" borderId="15" xfId="0" applyFont="1" applyFill="1" applyBorder="1">
      <alignment horizontal="left" vertical="center" wrapText="1"/>
    </xf>
    <xf numFmtId="0" fontId="19" fillId="39" borderId="13" xfId="0" applyFont="1" applyFill="1" applyBorder="1">
      <alignment horizontal="left" vertical="center" wrapText="1"/>
    </xf>
    <xf numFmtId="0" fontId="0" fillId="34" borderId="12" xfId="0" applyFont="1" applyFill="1" applyBorder="1">
      <alignment horizontal="right" vertical="center" wrapText="1" indent="1"/>
    </xf>
    <xf numFmtId="200" fontId="19" fillId="33" borderId="12" xfId="0" applyFont="1" applyFill="1" applyBorder="1" applyNumberFormat="1">
      <alignment horizontal="left" vertical="center" wrapText="1" indent="1"/>
    </xf>
    <xf numFmtId="0" fontId="19" fillId="33" borderId="12" xfId="0" applyFont="1" applyFill="1" applyBorder="1">
      <alignment horizontal="left" vertical="center" wrapText="1" indent="1"/>
    </xf>
    <xf numFmtId="0" fontId="19" fillId="33" borderId="14" xfId="0" applyFont="1" applyFill="1" applyBorder="1">
      <alignment horizontal="left" vertical="center" wrapText="1"/>
    </xf>
    <xf numFmtId="0" fontId="19" fillId="33" borderId="15" xfId="0" applyFont="1" applyFill="1" applyBorder="1">
      <alignment horizontal="left" vertical="center" wrapText="1"/>
    </xf>
    <xf numFmtId="0" fontId="19" fillId="33" borderId="13" xfId="0" applyFont="1" applyFill="1" applyBorder="1">
      <alignment horizontal="left" vertical="center" wrapText="1"/>
    </xf>
    <xf numFmtId="49" fontId="36" fillId="0" borderId="12" xfId="0" applyFont="1" applyBorder="1" applyNumberFormat="1">
      <alignment horizontal="center" vertical="center" wrapText="1"/>
    </xf>
    <xf numFmtId="200" fontId="36" fillId="0" borderId="12" xfId="0" applyFont="1" applyBorder="1" applyNumberFormat="1">
      <alignment horizontal="center" vertical="center" wrapText="1"/>
    </xf>
    <xf numFmtId="0" fontId="19" fillId="0" borderId="0" xfId="0" applyFont="1">
      <alignment horizontal="left" vertical="top" wrapText="1"/>
    </xf>
    <xf numFmtId="0" fontId="36" fillId="0" borderId="12" xfId="0" applyFont="1" applyBorder="1">
      <alignment horizontal="center" vertical="center"/>
    </xf>
    <xf numFmtId="0" fontId="36" fillId="0" borderId="14" xfId="0" applyFont="1" applyBorder="1">
      <alignment horizontal="center" vertical="center"/>
    </xf>
    <xf numFmtId="0" fontId="36" fillId="0" borderId="12" xfId="0" applyFont="1" applyBorder="1">
      <alignment horizontal="center" vertical="center" wrapText="1"/>
    </xf>
    <xf numFmtId="0" fontId="36" fillId="0" borderId="14" xfId="0" applyFont="1" applyBorder="1">
      <alignment horizontal="center" vertical="center" wrapText="1"/>
    </xf>
    <xf numFmtId="0" fontId="37" fillId="0" borderId="0" xfId="0" applyFont="1">
      <alignment horizontal="center" vertical="center" wrapText="1"/>
    </xf>
    <xf numFmtId="200"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200"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lignment horizontal="center" vertical="center" wrapText="1"/>
    </xf>
    <xf numFmtId="0" fontId="36" fillId="0" borderId="23" xfId="0" applyFont="1" applyBorder="1">
      <alignment horizontal="center" vertical="center" wrapTex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25" fillId="0" borderId="27" xfId="0" applyFont="1" applyBorder="1">
      <alignment horizontal="center" vertical="center" wrapText="1"/>
    </xf>
    <xf numFmtId="0" fontId="19" fillId="34" borderId="12" xfId="0" applyFont="1" applyFill="1" applyBorder="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19" fillId="34" borderId="17" xfId="0" applyFont="1" applyFill="1" applyBorder="1">
      <alignment horizontal="center" vertical="center" wrapText="1"/>
    </xf>
    <xf numFmtId="0" fontId="19" fillId="34" borderId="36" xfId="0" applyFont="1" applyFill="1" applyBorder="1">
      <alignment horizontal="center" vertical="center" wrapText="1"/>
    </xf>
    <xf numFmtId="0" fontId="19" fillId="34" borderId="23" xfId="0" applyFont="1" applyFill="1" applyBorder="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lignment horizontal="center" vertical="center" wrapText="1"/>
    </xf>
    <xf numFmtId="0" fontId="19" fillId="0" borderId="23" xfId="0" applyFont="1" applyBorder="1">
      <alignment horizontal="center" vertical="center" wrapText="1"/>
    </xf>
    <xf numFmtId="0" fontId="34" fillId="0" borderId="17" xfId="0" applyFont="1" applyBorder="1">
      <alignment horizontal="left" vertical="top" wrapText="1"/>
    </xf>
    <xf numFmtId="0" fontId="34" fillId="0" borderId="36" xfId="0" applyFont="1" applyBorder="1">
      <alignment horizontal="left" vertical="top" wrapText="1"/>
    </xf>
    <xf numFmtId="0" fontId="34" fillId="0" borderId="23" xfId="0" applyFont="1" applyBorder="1">
      <alignment horizontal="left" vertical="top" wrapText="1"/>
    </xf>
    <xf numFmtId="0" fontId="19" fillId="0" borderId="19" xfId="0" applyFont="1" applyBorder="1">
      <alignment horizontal="left" vertical="top" wrapText="1" indent="1"/>
    </xf>
    <xf numFmtId="0" fontId="19" fillId="0" borderId="27" xfId="0" applyFont="1" applyBorder="1">
      <alignment horizontal="left" vertical="center" wrapText="1" indent="1"/>
    </xf>
    <xf numFmtId="0" fontId="37" fillId="0" borderId="17" xfId="0" applyFont="1" applyBorder="1">
      <alignment horizontal="center" vertical="center" wrapText="1"/>
    </xf>
    <xf numFmtId="0" fontId="37" fillId="0" borderId="23" xfId="0" applyFont="1" applyBorder="1">
      <alignment horizontal="center" vertical="center" wrapText="1"/>
    </xf>
    <xf numFmtId="0" fontId="19" fillId="0" borderId="37" xfId="0" applyFont="1" applyBorder="1">
      <alignment horizontal="center" vertical="center" wrapText="1"/>
    </xf>
    <xf numFmtId="0" fontId="19" fillId="0" borderId="30" xfId="0" applyFont="1" applyBorder="1">
      <alignment horizontal="center" vertical="center" wrapText="1"/>
    </xf>
    <xf numFmtId="0" fontId="0" fillId="34" borderId="19" xfId="0" applyFont="1" applyFill="1" applyBorder="1">
      <alignment horizontal="center" vertical="center" wrapText="1"/>
    </xf>
    <xf numFmtId="0" fontId="37" fillId="0" borderId="14" xfId="0" applyFont="1" applyBorder="1">
      <alignment horizontal="left" vertical="center" wrapText="1"/>
    </xf>
    <xf numFmtId="0" fontId="37" fillId="0" borderId="15" xfId="0" applyFont="1" applyBorder="1">
      <alignment horizontal="left" vertical="center" wrapText="1"/>
    </xf>
    <xf numFmtId="0" fontId="37" fillId="0" borderId="13" xfId="0" applyFont="1" applyBorder="1">
      <alignment horizontal="left" vertical="center" wrapText="1"/>
    </xf>
    <xf numFmtId="0" fontId="0" fillId="0" borderId="0" xfId="0" applyFont="1">
      <alignment horizontal="left" vertical="top" wrapText="1"/>
    </xf>
    <xf numFmtId="0" fontId="19" fillId="0" borderId="19" xfId="0" applyFont="1" applyBorder="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19" fillId="0" borderId="19" xfId="0" applyFont="1" applyBorder="1">
      <alignment horizontal="center" vertical="center" wrapText="1"/>
    </xf>
    <xf numFmtId="0" fontId="19" fillId="0" borderId="20" xfId="0" applyFont="1" applyBorder="1">
      <alignment horizontal="center" vertical="center" wrapText="1"/>
    </xf>
    <xf numFmtId="0" fontId="19" fillId="0" borderId="27" xfId="0" applyFont="1" applyBorder="1">
      <alignment horizontal="center" vertical="center" wrapText="1"/>
    </xf>
    <xf numFmtId="0" fontId="19" fillId="0" borderId="29" xfId="0" applyFont="1" applyBorder="1">
      <alignment horizontal="center" vertical="center" wrapText="1"/>
    </xf>
    <xf numFmtId="0" fontId="19" fillId="0" borderId="22" xfId="0" applyFont="1" applyBorder="1">
      <alignment horizontal="center" vertical="center" wrapText="1"/>
    </xf>
    <xf numFmtId="0" fontId="19" fillId="0" borderId="12" xfId="0" applyFont="1" applyBorder="1">
      <alignment horizontal="center" vertical="center"/>
    </xf>
    <xf numFmtId="0" fontId="19" fillId="0" borderId="14" xfId="0" applyFont="1" applyBorder="1">
      <alignment horizontal="center" vertical="center"/>
    </xf>
    <xf numFmtId="0" fontId="19" fillId="0" borderId="12" xfId="0" applyFont="1" applyBorder="1">
      <alignment horizontal="center" vertical="center"/>
    </xf>
    <xf numFmtId="0" fontId="19" fillId="0" borderId="14" xfId="0" applyFont="1" applyBorder="1">
      <alignment horizontal="center" vertical="center"/>
    </xf>
    <xf numFmtId="0" fontId="19" fillId="39" borderId="20" xfId="0" applyFont="1" applyFill="1" applyBorder="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lignment horizontal="center" vertical="center" wrapText="1"/>
    </xf>
    <xf numFmtId="0" fontId="0" fillId="34" borderId="20" xfId="0" applyFont="1" applyFill="1" applyBorder="1">
      <alignment horizontal="center" vertical="center" wrapText="1"/>
    </xf>
    <xf numFmtId="0" fontId="0" fillId="34" borderId="22" xfId="0" applyFont="1" applyFill="1" applyBorder="1">
      <alignment horizontal="center" vertical="center" wrapText="1"/>
    </xf>
    <xf numFmtId="0" fontId="0" fillId="34" borderId="0" xfId="0" applyFont="1" applyFill="1">
      <alignment horizontal="center" vertical="center" wrapText="1"/>
    </xf>
    <xf numFmtId="0" fontId="0" fillId="34" borderId="30" xfId="0" applyFont="1" applyFill="1" applyBorder="1">
      <alignment horizontal="center" vertical="center" wrapText="1"/>
    </xf>
    <xf numFmtId="0" fontId="0" fillId="34" borderId="27" xfId="0" applyFont="1" applyFill="1" applyBorder="1">
      <alignment horizontal="center" vertical="center" wrapText="1"/>
    </xf>
    <xf numFmtId="0" fontId="0" fillId="34" borderId="29" xfId="0" applyFont="1" applyFill="1" applyBorder="1">
      <alignment horizontal="center" vertical="center" wrapText="1"/>
    </xf>
    <xf numFmtId="0" fontId="25" fillId="0" borderId="12" xfId="0" applyFont="1" applyBorder="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lignment horizontal="left" vertical="center" wrapText="1"/>
    </xf>
    <xf numFmtId="0" fontId="19" fillId="34" borderId="36" xfId="0" applyFont="1" applyFill="1" applyBorder="1">
      <alignment horizontal="left" vertical="center" wrapText="1"/>
    </xf>
    <xf numFmtId="0" fontId="19" fillId="34" borderId="23" xfId="0" applyFont="1" applyFill="1" applyBorder="1">
      <alignment horizontal="left" vertical="center" wrapText="1"/>
    </xf>
    <xf numFmtId="0" fontId="37" fillId="0" borderId="24" xfId="0" applyFont="1" applyBorder="1">
      <alignment horizontal="center" vertical="top" wrapText="1"/>
    </xf>
    <xf numFmtId="0" fontId="0" fillId="34" borderId="24" xfId="0" applyFont="1" applyFill="1" applyBorder="1">
      <alignment horizontal="center" vertical="center" wrapText="1"/>
    </xf>
    <xf numFmtId="0" fontId="19" fillId="34" borderId="37" xfId="0" applyFont="1" applyFill="1" applyBorder="1">
      <alignment horizontal="center" vertical="center" wrapText="1"/>
    </xf>
    <xf numFmtId="0" fontId="19" fillId="34" borderId="22" xfId="0" applyFont="1" applyFill="1" applyBorder="1">
      <alignment horizontal="center" vertical="center" wrapText="1"/>
    </xf>
    <xf numFmtId="0" fontId="19" fillId="34" borderId="30" xfId="0" applyFont="1" applyFill="1" applyBorder="1">
      <alignment horizontal="center" vertical="center" wrapText="1"/>
    </xf>
    <xf numFmtId="0" fontId="19" fillId="38" borderId="12" xfId="0" applyFont="1" applyFill="1" applyBorder="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lignment horizontal="left" vertical="center" wrapText="1"/>
      <protection locked="0"/>
    </xf>
    <xf numFmtId="0" fontId="19" fillId="35" borderId="15" xfId="0" applyFont="1" applyFill="1" applyBorder="1">
      <alignment horizontal="left" vertical="center" wrapText="1"/>
      <protection locked="0"/>
    </xf>
    <xf numFmtId="0" fontId="19" fillId="35" borderId="13" xfId="0" applyFont="1" applyFill="1" applyBorder="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lignment horizontal="left" vertical="center" wrapText="1"/>
    </xf>
    <xf numFmtId="49" fontId="81" fillId="45" borderId="0" xfId="0" applyFont="1" applyFill="1" applyNumberFormat="1">
      <alignment horizontal="center" vertical="center" textRotation="90" wrapText="1"/>
    </xf>
    <xf numFmtId="0" fontId="63" fillId="0" borderId="0" xfId="0" applyFont="1">
      <alignment horizontal="center" vertical="center" wrapText="1"/>
    </xf>
    <xf numFmtId="49" fontId="81" fillId="45" borderId="0" xfId="0" applyFont="1" applyFill="1" applyNumberFormat="1">
      <alignment horizontal="center" vertical="center" textRotation="90" wrapText="1"/>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19" fillId="0" borderId="14" xfId="0" applyFont="1" applyBorder="1">
      <alignment horizontal="right" vertical="center" wrapText="1"/>
    </xf>
    <xf numFmtId="0" fontId="19" fillId="0" borderId="15" xfId="0" applyFont="1" applyBorder="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lignment horizontal="left" vertical="center" wrapText="1" indent="1"/>
    </xf>
    <xf numFmtId="0" fontId="34" fillId="0" borderId="0" xfId="0" applyFont="1">
      <alignment horizontal="left" vertical="top" wrapText="1"/>
    </xf>
    <xf numFmtId="0" fontId="19" fillId="0" borderId="23" xfId="0" applyFont="1" applyBorder="1">
      <alignment horizontal="left" vertical="center" wrapText="1"/>
    </xf>
    <xf numFmtId="0" fontId="37" fillId="0" borderId="0" xfId="0" applyFont="1">
      <alignment horizontal="center" vertical="center" wrapText="1"/>
    </xf>
    <xf numFmtId="0" fontId="36" fillId="0" borderId="0" xfId="0" applyFont="1">
      <alignment horizontal="center" vertical="top"/>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37" fillId="0" borderId="15" xfId="0" applyFont="1" applyBorder="1">
      <alignment horizontal="right" vertical="center" wrapText="1" indent="1"/>
    </xf>
    <xf numFmtId="0" fontId="37" fillId="0" borderId="13" xfId="0" applyFont="1" applyBorder="1">
      <alignment horizontal="right" vertical="center" wrapText="1" indent="1"/>
    </xf>
    <xf numFmtId="0" fontId="19" fillId="33" borderId="14" xfId="0" applyFont="1" applyFill="1" applyBorder="1">
      <alignment horizontal="left" vertical="top" wrapText="1"/>
    </xf>
    <xf numFmtId="0" fontId="19" fillId="33" borderId="13" xfId="0" applyFont="1" applyFill="1" applyBorder="1">
      <alignment horizontal="left" vertical="top" wrapText="1"/>
    </xf>
    <xf numFmtId="49" fontId="19" fillId="55" borderId="0" xfId="0" applyFont="1" applyFill="1" applyNumberFormat="1">
      <alignment horizontal="center" vertical="center" textRotation="90" wrapText="1"/>
    </xf>
    <xf numFmtId="0" fontId="19" fillId="0" borderId="0" xfId="0" applyFont="1">
      <alignment horizontal="left" vertical="top" wrapText="1"/>
    </xf>
    <xf numFmtId="49" fontId="19" fillId="0" borderId="0" xfId="0" applyFont="1" applyNumberFormat="1">
      <alignment vertical="center" wrapText="1"/>
    </xf>
    <xf numFmtId="0" fontId="25" fillId="0" borderId="24" xfId="0" applyFont="1" applyBorder="1">
      <alignment horizontal="center" vertical="center" wrapText="1"/>
    </xf>
    <xf numFmtId="0" fontId="19" fillId="33" borderId="14" xfId="0" applyFont="1" applyFill="1" applyBorder="1">
      <alignment horizontal="left" vertical="top" wrapText="1" indent="1"/>
    </xf>
    <xf numFmtId="0" fontId="19" fillId="33" borderId="13" xfId="0" applyFont="1" applyFill="1" applyBorder="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0" fillId="0" borderId="12" xfId="0" applyFont="1" applyBorder="1">
      <alignment horizontal="left" vertical="center" wrapText="1" indent="1"/>
    </xf>
    <xf numFmtId="0" fontId="0" fillId="0" borderId="12" xfId="0" applyFont="1" applyBorder="1">
      <alignment horizontal="center" vertical="center" wrapText="1"/>
    </xf>
    <xf numFmtId="0" fontId="19" fillId="0" borderId="0" xfId="0" applyFont="1">
      <alignment horizontal="left" vertical="center" wrapText="1"/>
    </xf>
    <xf numFmtId="0" fontId="19" fillId="34" borderId="12" xfId="0" applyFont="1" applyFill="1" applyBorder="1">
      <alignment horizontal="center" vertical="center" wrapText="1"/>
    </xf>
    <xf numFmtId="0" fontId="19" fillId="34" borderId="37" xfId="0" applyFont="1" applyFill="1" applyBorder="1">
      <alignment horizontal="center" vertical="center" wrapText="1"/>
    </xf>
    <xf numFmtId="0" fontId="19" fillId="34" borderId="20" xfId="0" applyFont="1" applyFill="1" applyBorder="1">
      <alignment horizontal="center" vertical="center" wrapText="1"/>
    </xf>
    <xf numFmtId="0" fontId="19" fillId="34" borderId="22" xfId="0" applyFont="1" applyFill="1" applyBorder="1">
      <alignment horizontal="center" vertical="center" wrapText="1"/>
    </xf>
    <xf numFmtId="0" fontId="19" fillId="34" borderId="24" xfId="0" applyFont="1" applyFill="1" applyBorder="1">
      <alignment horizontal="center" vertical="center" wrapText="1"/>
    </xf>
    <xf numFmtId="0" fontId="19" fillId="34" borderId="30" xfId="0" applyFont="1" applyFill="1" applyBorder="1">
      <alignment horizontal="center" vertical="center" wrapText="1"/>
    </xf>
    <xf numFmtId="0" fontId="19" fillId="34" borderId="29" xfId="0" applyFont="1" applyFill="1" applyBorder="1">
      <alignment horizontal="center" vertical="center" wrapText="1"/>
    </xf>
    <xf numFmtId="0" fontId="19" fillId="0" borderId="62" xfId="0" applyFont="1" applyBorder="1">
      <alignment horizontal="center" vertical="center"/>
    </xf>
    <xf numFmtId="0" fontId="19" fillId="0" borderId="63" xfId="0" applyFont="1" applyBorder="1">
      <alignment horizontal="center" vertical="center"/>
    </xf>
    <xf numFmtId="0" fontId="19" fillId="0" borderId="65" xfId="0" applyFont="1" applyBorder="1">
      <alignment horizontal="center" vertical="center"/>
    </xf>
    <xf numFmtId="0" fontId="19" fillId="0" borderId="75" xfId="0" applyFont="1" applyBorder="1">
      <alignment horizontal="center" vertical="center"/>
    </xf>
    <xf numFmtId="0" fontId="19"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lignment horizontal="center" vertical="center" wrapText="1"/>
    </xf>
    <xf numFmtId="49" fontId="0" fillId="0" borderId="12" xfId="0" applyFont="1" applyBorder="1" applyNumberFormat="1">
      <alignment horizontal="center" vertical="center"/>
    </xf>
    <xf numFmtId="0" fontId="19" fillId="34" borderId="20" xfId="0" applyFont="1" applyFill="1" applyBorder="1">
      <alignment horizontal="center" vertical="center" wrapText="1"/>
    </xf>
    <xf numFmtId="0" fontId="19" fillId="34" borderId="29" xfId="0" applyFont="1" applyFill="1" applyBorder="1">
      <alignment horizontal="center" vertical="center" wrapText="1"/>
    </xf>
    <xf numFmtId="0" fontId="19" fillId="34" borderId="14" xfId="0" applyFont="1" applyFill="1" applyBorder="1">
      <alignment horizontal="center" vertical="center" wrapText="1"/>
    </xf>
    <xf numFmtId="0" fontId="19" fillId="34" borderId="13" xfId="0" applyFont="1" applyFill="1" applyBorder="1">
      <alignment horizontal="center" vertical="center" wrapText="1"/>
    </xf>
    <xf numFmtId="0" fontId="19" fillId="40" borderId="12" xfId="0" applyFont="1" applyFill="1" applyBorder="1">
      <alignment horizontal="center" vertical="center" wrapText="1"/>
    </xf>
    <xf numFmtId="0" fontId="19" fillId="40" borderId="14" xfId="0" applyFont="1" applyFill="1" applyBorder="1">
      <alignment horizontal="center" vertical="center" wrapText="1"/>
    </xf>
    <xf numFmtId="0" fontId="19" fillId="34" borderId="15" xfId="0" applyFont="1" applyFill="1" applyBorder="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lignment horizontal="center" vertical="center" wrapText="1"/>
    </xf>
    <xf numFmtId="0" fontId="19" fillId="48" borderId="14" xfId="0" applyFont="1" applyFill="1" applyBorder="1">
      <alignment horizontal="center" vertical="center" wrapText="1"/>
    </xf>
    <xf numFmtId="0" fontId="19" fillId="48" borderId="15" xfId="0" applyFont="1" applyFill="1" applyBorder="1">
      <alignment horizontal="center" vertical="center" wrapText="1"/>
    </xf>
    <xf numFmtId="0" fontId="19" fillId="48" borderId="13" xfId="0" applyFont="1" applyFill="1" applyBorder="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lignment horizontal="left" vertical="top" wrapText="1"/>
    </xf>
    <xf numFmtId="0" fontId="19" fillId="0" borderId="20" xfId="0" applyFont="1" applyBorder="1">
      <alignment horizontal="left" vertical="top" wrapText="1" indent="1"/>
    </xf>
    <xf numFmtId="0" fontId="19" fillId="0" borderId="17" xfId="0" applyFont="1" applyBorder="1">
      <alignment horizontal="left" vertical="top" wrapText="1" indent="1"/>
    </xf>
    <xf numFmtId="0" fontId="19" fillId="0" borderId="37" xfId="0" applyFont="1" applyBorder="1">
      <alignment horizontal="left" vertical="top" wrapText="1" indent="1"/>
    </xf>
    <xf numFmtId="0" fontId="19" fillId="0" borderId="29" xfId="0" applyFont="1" applyBorder="1">
      <alignment horizontal="left" vertical="center" wrapText="1" indent="1"/>
    </xf>
    <xf numFmtId="0" fontId="19" fillId="0" borderId="23" xfId="0" applyFont="1" applyBorder="1">
      <alignment horizontal="left" vertical="center" wrapText="1" indent="1"/>
    </xf>
    <xf numFmtId="0" fontId="19" fillId="0" borderId="30" xfId="0" applyFont="1" applyBorder="1">
      <alignment horizontal="left" vertical="center" wrapText="1" indent="1"/>
    </xf>
    <xf numFmtId="0" fontId="19" fillId="34" borderId="12" xfId="0" applyFont="1" applyFill="1" applyBorder="1">
      <alignment horizontal="center" vertical="center"/>
    </xf>
    <xf numFmtId="0" fontId="0" fillId="0" borderId="12" xfId="0" applyFont="1" applyBorder="1">
      <alignment horizontal="left" vertical="center" wrapText="1"/>
    </xf>
    <xf numFmtId="0" fontId="0" fillId="0" borderId="12" xfId="0" applyFont="1" applyBorder="1">
      <alignment horizontal="left" vertical="center" wrapText="1"/>
    </xf>
    <xf numFmtId="0" fontId="19" fillId="0" borderId="15" xfId="0" applyFont="1" applyBorder="1">
      <alignment horizontal="left" vertical="top" wrapText="1" indent="1"/>
    </xf>
    <xf numFmtId="0" fontId="28" fillId="34" borderId="0" xfId="0" applyFont="1" applyFill="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3" borderId="14" xfId="0" applyFont="1" applyFill="1" applyBorder="1">
      <alignment horizontal="left" vertical="center" wrapText="1" indent="1"/>
    </xf>
    <xf numFmtId="0" fontId="28" fillId="34" borderId="24" xfId="0" applyFont="1" applyFill="1" applyBorder="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lignment horizontal="left" vertical="center" wrapText="1" indent="1"/>
    </xf>
    <xf numFmtId="49" fontId="19" fillId="0" borderId="0" xfId="0" applyFont="1" applyNumberFormat="1">
      <alignment horizontal="left" vertical="top" wrapText="1"/>
    </xf>
    <xf numFmtId="0" fontId="19" fillId="0" borderId="13" xfId="0" applyFont="1" applyBorder="1">
      <alignment horizontal="left" vertical="center" wrapText="1" indent="1"/>
    </xf>
    <xf numFmtId="0" fontId="19" fillId="0" borderId="14" xfId="0" applyFont="1" applyBorder="1">
      <alignment horizontal="left" vertical="center" wrapText="1" indent="1"/>
    </xf>
    <xf numFmtId="49" fontId="19" fillId="0" borderId="0" xfId="0" applyFont="1" applyNumberFormat="1">
      <alignment horizontal="left" vertical="top" wrapText="1"/>
    </xf>
    <xf numFmtId="0" fontId="0" fillId="34" borderId="17" xfId="0" applyFont="1" applyFill="1" applyBorder="1">
      <alignment horizontal="left" vertical="top" wrapText="1"/>
    </xf>
    <xf numFmtId="0" fontId="0" fillId="34" borderId="36" xfId="0" applyFont="1" applyFill="1" applyBorder="1">
      <alignment horizontal="left" vertical="top" wrapText="1"/>
    </xf>
    <xf numFmtId="0" fontId="0" fillId="34" borderId="23" xfId="0" applyFont="1" applyFill="1" applyBorder="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97" fontId="19" fillId="0" borderId="17" xfId="0" applyFont="1" applyBorder="1" applyNumberFormat="1">
      <alignment horizontal="center" vertical="center" wrapText="1"/>
    </xf>
    <xf numFmtId="197" fontId="19" fillId="0" borderId="23" xfId="0" applyFont="1" applyBorder="1" applyNumberFormat="1">
      <alignment horizontal="center" vertical="center" wrapText="1"/>
    </xf>
    <xf numFmtId="197" fontId="19" fillId="0" borderId="14" xfId="0" applyFont="1" applyBorder="1" applyNumberFormat="1">
      <alignment horizontal="center" vertical="center" wrapText="1"/>
    </xf>
    <xf numFmtId="197" fontId="19" fillId="0" borderId="15" xfId="0" applyFont="1" applyBorder="1" applyNumberFormat="1">
      <alignment horizontal="center" vertical="center" wrapText="1"/>
    </xf>
    <xf numFmtId="197" fontId="19" fillId="0" borderId="13" xfId="0" applyFont="1" applyBorder="1" applyNumberFormat="1">
      <alignment horizontal="center" vertical="center" wrapText="1"/>
    </xf>
    <xf numFmtId="0" fontId="19" fillId="33" borderId="12" xfId="0" applyFont="1" applyFill="1" applyBorder="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lignment horizontal="left" vertical="center" wrapText="1"/>
    </xf>
    <xf numFmtId="14" fontId="19" fillId="39" borderId="23" xfId="0" applyFont="1" applyFill="1" applyBorder="1" applyNumberFormat="1">
      <alignment horizontal="left" vertical="center" wrapText="1"/>
    </xf>
    <xf numFmtId="197" fontId="19" fillId="0" borderId="12" xfId="0" applyFont="1" applyBorder="1" applyNumberFormat="1">
      <alignment horizontal="center" vertical="center" wrapText="1"/>
    </xf>
    <xf numFmtId="197" fontId="34" fillId="0" borderId="57" xfId="0" applyFont="1" applyBorder="1" applyNumberFormat="1">
      <alignment horizontal="center" vertical="center" wrapText="1"/>
    </xf>
    <xf numFmtId="197" fontId="34" fillId="0" borderId="51" xfId="0" applyFont="1" applyBorder="1" applyNumberFormat="1">
      <alignment horizontal="center" vertical="center" wrapText="1"/>
    </xf>
    <xf numFmtId="197"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200"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200"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3" fillId="0" borderId="12" xfId="0" applyFont="1" applyBorder="1" applyNumberFormat="1">
      <alignment horizontal="center" vertical="center" wrapText="1"/>
    </xf>
    <xf numFmtId="0" fontId="34" fillId="0" borderId="12" xfId="0" applyFont="1" applyBorder="1">
      <alignment horizontal="center" vertical="center"/>
    </xf>
    <xf numFmtId="0" fontId="0" fillId="38" borderId="12" xfId="0" applyFont="1" applyFill="1" applyBorder="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lignment horizontal="left" vertical="center" wrapText="1" indent="1"/>
    </xf>
    <xf numFmtId="0" fontId="65" fillId="0" borderId="12" xfId="0" applyFont="1" applyBorder="1">
      <alignment horizontal="left" vertical="top" indent="1"/>
    </xf>
    <xf numFmtId="0" fontId="24" fillId="0" borderId="12" xfId="0" applyFont="1" applyBorder="1">
      <alignment horizontal="center" vertical="center" wrapText="1"/>
    </xf>
    <xf numFmtId="0" fontId="19" fillId="39" borderId="12" xfId="0" applyFont="1" applyFill="1" applyBorder="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3" fillId="0" borderId="13" xfId="0" applyFont="1" applyBorder="1" applyNumberFormat="1">
      <alignment horizontal="center" vertical="center" wrapText="1"/>
    </xf>
    <xf numFmtId="0" fontId="19" fillId="39" borderId="17" xfId="0" applyFont="1" applyFill="1" applyBorder="1">
      <alignment horizontal="left" vertical="center" wrapText="1"/>
    </xf>
    <xf numFmtId="0" fontId="19" fillId="39" borderId="36" xfId="0" applyFont="1" applyFill="1" applyBorder="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lignment horizontal="left" vertical="center"/>
    </xf>
    <xf numFmtId="0" fontId="29" fillId="36" borderId="13" xfId="0" applyFont="1" applyFill="1" applyBorder="1">
      <alignment horizontal="left" vertical="center"/>
    </xf>
    <xf numFmtId="0" fontId="29" fillId="36" borderId="19" xfId="0" applyFont="1" applyFill="1" applyBorder="1">
      <alignment horizontal="left" vertical="center"/>
    </xf>
    <xf numFmtId="0" fontId="29" fillId="36" borderId="20" xfId="0" applyFont="1" applyFill="1" applyBorder="1">
      <alignment horizontal="left" vertical="center"/>
    </xf>
    <xf numFmtId="49" fontId="19" fillId="38" borderId="17" xfId="0" applyFont="1" applyFill="1" applyBorder="1" applyNumberFormat="1">
      <alignment horizontal="left" vertical="center" wrapText="1"/>
      <protection locked="0"/>
    </xf>
    <xf numFmtId="49" fontId="85" fillId="0" borderId="12" xfId="0" applyFont="1" applyBorder="1" applyNumberFormat="1">
      <alignment horizontal="center" vertical="top" wrapText="1"/>
    </xf>
    <xf numFmtId="0" fontId="85" fillId="40" borderId="12" xfId="0" applyFont="1" applyFill="1" applyBorder="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lignment horizontal="center" vertical="center" wrapText="1"/>
    </xf>
    <xf numFmtId="0" fontId="19" fillId="39" borderId="12" xfId="0" applyFont="1" applyFill="1" applyBorder="1">
      <alignment horizontal="left" vertical="center" wrapText="1"/>
      <protection locked="0"/>
    </xf>
    <xf numFmtId="0" fontId="19" fillId="39" borderId="14" xfId="0" applyFont="1" applyFill="1" applyBorder="1">
      <alignment horizontal="left" vertical="center" wrapText="1"/>
      <protection locked="0"/>
    </xf>
    <xf numFmtId="0" fontId="19" fillId="39" borderId="15" xfId="0" applyFont="1" applyFill="1" applyBorder="1">
      <alignment horizontal="left" vertical="center" wrapText="1"/>
      <protection locked="0"/>
    </xf>
    <xf numFmtId="0" fontId="19" fillId="39" borderId="13" xfId="0" applyFont="1" applyFill="1" applyBorder="1">
      <alignment horizontal="left" vertical="center" wrapText="1"/>
      <protection locked="0"/>
    </xf>
    <xf numFmtId="0" fontId="19" fillId="0" borderId="0" xfId="0" applyFont="1">
      <alignment horizontal="right" vertical="center" wrapText="1"/>
    </xf>
    <xf numFmtId="0" fontId="35" fillId="0" borderId="19" xfId="0" applyFont="1" applyBorder="1">
      <alignment horizontal="left" vertical="center" wrapText="1" indent="1"/>
    </xf>
    <xf numFmtId="0" fontId="35" fillId="0" borderId="27" xfId="0" applyFont="1" applyBorder="1">
      <alignment horizontal="left" vertical="center" wrapText="1" indent="1"/>
    </xf>
    <xf numFmtId="200" fontId="0" fillId="38" borderId="12" xfId="0" applyFont="1" applyFill="1" applyBorder="1" applyNumberFormat="1">
      <alignment horizontal="center" vertical="center" wrapText="1"/>
      <protection locked="0"/>
    </xf>
    <xf numFmtId="0" fontId="0" fillId="0" borderId="12" xfId="0" applyFont="1" applyBorder="1">
      <alignment horizontal="center" vertical="center" wrapText="1"/>
    </xf>
    <xf numFmtId="0" fontId="24" fillId="34" borderId="0" xfId="0" applyFont="1" applyFill="1">
      <alignment horizontal="center" vertical="center" wrapText="1"/>
    </xf>
    <xf numFmtId="0" fontId="72" fillId="0" borderId="0" xfId="0" applyFon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lignment horizontal="left" vertical="center" wrapText="1" indent="1"/>
    </xf>
    <xf numFmtId="0" fontId="19" fillId="33" borderId="14" xfId="0" applyFont="1" applyFill="1" applyBorder="1">
      <alignment horizontal="left" vertical="center" wrapText="1" indent="1"/>
    </xf>
    <xf numFmtId="0" fontId="19" fillId="33" borderId="15" xfId="0" applyFont="1" applyFill="1" applyBorder="1">
      <alignment horizontal="left" vertical="center" wrapText="1" indent="1"/>
    </xf>
    <xf numFmtId="0" fontId="19" fillId="33" borderId="13" xfId="0" applyFont="1" applyFill="1" applyBorder="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114" fillId="0" borderId="12" xfId="0" applyFont="1" applyBorder="1" applyNumberFormat="1">
      <alignment horizontal="left" vertical="center" wrapText="1" indent="1"/>
    </xf>
    <xf numFmtId="49" fontId="0" fillId="0" borderId="0" xfId="0" applyFont="1" applyNumberFormat="1">
      <alignment vertical="top"/>
    </xf>
    <xf numFmtId="49" fontId="115" fillId="38" borderId="12" xfId="0" applyFont="1" applyFill="1" applyBorder="1" applyNumberFormat="1">
      <alignment horizontal="left" vertical="center" wrapText="1" indent="1"/>
      <protection locked="0"/>
    </xf>
    <xf numFmtId="49" fontId="0" fillId="0" borderId="0" xfId="0" applyFont="1" applyNumberFormat="1">
      <alignment vertical="top"/>
    </xf>
    <xf numFmtId="0" fontId="19" fillId="39" borderId="12" xfId="0" applyFont="1" applyFill="1" applyBorder="1">
      <alignment horizontal="left" vertical="top" wrapText="1"/>
    </xf>
    <xf numFmtId="49" fontId="0" fillId="34" borderId="12" xfId="0" applyFont="1" applyFill="1" applyBorder="1" applyNumberFormat="1">
      <alignment horizontal="lef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3" xfId="0" applyFont="1" applyFill="1" applyBorder="1">
      <alignment horizontal="left" vertical="center"/>
    </xf>
    <xf numFmtId="49" fontId="0" fillId="39" borderId="12" xfId="0" applyFont="1" applyFill="1" applyBorder="1" applyNumberFormat="1">
      <alignment horizontal="left" vertical="top"/>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49" fontId="0" fillId="34" borderId="12" xfId="0" applyFont="1" applyFill="1" applyBorder="1" applyNumberFormat="1">
      <alignment horizontal="left" vertical="center" wrapText="1"/>
    </xf>
    <xf numFmtId="49" fontId="0" fillId="34" borderId="12" xfId="0" applyFont="1" applyFill="1" applyBorder="1" applyNumberFormat="1">
      <alignment horizontal="lef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3"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3"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49" fontId="0" fillId="0" borderId="12" xfId="0" applyFont="1" applyBorder="1" applyNumberFormat="1">
      <alignment horizontal="left" vertical="center" wrapText="1"/>
    </xf>
    <xf numFmtId="200" fontId="0" fillId="0" borderId="12" xfId="0" applyFont="1" applyBorder="1" applyNumberFormat="1">
      <alignment horizontal="left" vertical="center" wrapText="1" indent="1"/>
    </xf>
    <xf numFmtId="0" fontId="36" fillId="0" borderId="17" xfId="0" applyFont="1" applyBorder="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0" fontId="19" fillId="0" borderId="19" xfId="0" applyFont="1" applyBorder="1">
      <alignment horizontal="center" vertical="center" wrapText="1"/>
    </xf>
    <xf numFmtId="0" fontId="19" fillId="0" borderId="27" xfId="0" applyFont="1" applyBorder="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0" fontId="19" fillId="36" borderId="15" xfId="0" applyFont="1" applyFill="1" applyBorder="1">
      <alignment horizontal="left" vertical="center" wrapText="1" indent="6"/>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indent="2"/>
    </xf>
    <xf numFmtId="49" fontId="29" fillId="36" borderId="27" xfId="0" applyFont="1" applyFill="1" applyBorder="1" applyNumberFormat="1">
      <alignment horizontal="left" vertical="center"/>
    </xf>
    <xf numFmtId="49" fontId="33" fillId="36" borderId="13" xfId="0" applyFont="1" applyFill="1" applyBorder="1" applyNumberFormat="1">
      <alignment horizontal="center" vertical="top"/>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indent="2"/>
    </xf>
    <xf numFmtId="49" fontId="29" fillId="36" borderId="27" xfId="0" applyFont="1" applyFill="1" applyBorder="1" applyNumberFormat="1">
      <alignment horizontal="left" vertical="center"/>
    </xf>
    <xf numFmtId="49" fontId="33" fillId="36" borderId="13" xfId="0" applyFont="1" applyFill="1" applyBorder="1" applyNumberFormat="1">
      <alignment horizontal="center" vertical="top"/>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indent="2"/>
    </xf>
    <xf numFmtId="49" fontId="29" fillId="36" borderId="27" xfId="0" applyFont="1" applyFill="1" applyBorder="1" applyNumberFormat="1">
      <alignment horizontal="left" vertical="center"/>
    </xf>
    <xf numFmtId="49" fontId="33" fillId="36" borderId="13" xfId="0" applyFont="1" applyFill="1" applyBorder="1" applyNumberFormat="1">
      <alignment horizontal="center" vertical="top"/>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indent="2"/>
    </xf>
    <xf numFmtId="49" fontId="29" fillId="36" borderId="27" xfId="0" applyFont="1" applyFill="1" applyBorder="1" applyNumberFormat="1">
      <alignment horizontal="left" vertical="center"/>
    </xf>
    <xf numFmtId="49" fontId="33" fillId="36" borderId="13" xfId="0" applyFont="1" applyFill="1" applyBorder="1" applyNumberFormat="1">
      <alignment horizontal="center" vertical="top"/>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indent="2"/>
    </xf>
    <xf numFmtId="49" fontId="29" fillId="36" borderId="27" xfId="0" applyFont="1" applyFill="1" applyBorder="1" applyNumberFormat="1">
      <alignment horizontal="left" vertical="center"/>
    </xf>
    <xf numFmtId="49" fontId="33" fillId="36" borderId="13" xfId="0" applyFont="1" applyFill="1" applyBorder="1" applyNumberFormat="1">
      <alignment horizontal="center" vertical="top"/>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indent="2"/>
    </xf>
    <xf numFmtId="49" fontId="29" fillId="36" borderId="27" xfId="0" applyFont="1" applyFill="1" applyBorder="1" applyNumberFormat="1">
      <alignment horizontal="left" vertical="center"/>
    </xf>
    <xf numFmtId="49" fontId="33" fillId="36" borderId="13" xfId="0" applyFont="1" applyFill="1" applyBorder="1" applyNumberFormat="1">
      <alignment horizontal="center" vertical="top"/>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indent="2"/>
    </xf>
    <xf numFmtId="49" fontId="29" fillId="36" borderId="27" xfId="0" applyFont="1" applyFill="1" applyBorder="1" applyNumberFormat="1">
      <alignment horizontal="left" vertical="center"/>
    </xf>
    <xf numFmtId="49" fontId="33" fillId="36" borderId="13" xfId="0" applyFont="1" applyFill="1" applyBorder="1" applyNumberFormat="1">
      <alignment horizontal="center" vertical="top"/>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indent="2"/>
    </xf>
    <xf numFmtId="49" fontId="29" fillId="36" borderId="27" xfId="0" applyFont="1" applyFill="1" applyBorder="1" applyNumberFormat="1">
      <alignment horizontal="left" vertical="center"/>
    </xf>
    <xf numFmtId="49" fontId="33" fillId="36" borderId="13" xfId="0" applyFont="1" applyFill="1" applyBorder="1" applyNumberFormat="1">
      <alignment horizontal="center" vertical="top"/>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indent="2"/>
    </xf>
    <xf numFmtId="49" fontId="29" fillId="36" borderId="27" xfId="0" applyFont="1" applyFill="1" applyBorder="1" applyNumberFormat="1">
      <alignment horizontal="left" vertical="center"/>
    </xf>
    <xf numFmtId="49" fontId="33" fillId="36" borderId="13" xfId="0" applyFont="1" applyFill="1" applyBorder="1" applyNumberFormat="1">
      <alignment horizontal="center" vertical="top"/>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indent="2"/>
    </xf>
    <xf numFmtId="49" fontId="29" fillId="36" borderId="27" xfId="0" applyFont="1" applyFill="1" applyBorder="1" applyNumberFormat="1">
      <alignment horizontal="left" vertical="center"/>
    </xf>
    <xf numFmtId="49" fontId="33" fillId="36" borderId="13" xfId="0" applyFont="1" applyFill="1" applyBorder="1" applyNumberFormat="1">
      <alignment horizontal="center" vertical="top"/>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https://www.gov.spb.ru/gov/otrasl/energ_kom/inform_/standarty-raskrytiya-informacii-komitetom/teplo/"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B173F3-C689-00F4-10C4-90A1F6209C0E}"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28" width="5.421875" customWidth="1"/>
    <col min="2" max="2" style="1728" width="9.140625" customWidth="1"/>
    <col min="3" max="3" style="1728" width="16.421875" customWidth="1"/>
    <col min="4" max="25" style="1728" width="6.28125" customWidth="1"/>
    <col min="26" max="28" style="1728" width="11.00390625"/>
  </cols>
  <sheetData>
    <row customHeight="1" ht="15.75">
      <c r="A1" s="1724"/>
      <c r="B1" s="1725"/>
      <c r="C1" s="1725"/>
      <c r="D1" s="1725"/>
      <c r="E1" s="1725"/>
      <c r="F1" s="1725"/>
      <c r="G1" s="1725"/>
      <c r="H1" s="1725"/>
      <c r="I1" s="1725"/>
      <c r="J1" s="1725"/>
      <c r="K1" s="1725"/>
      <c r="L1" s="1725"/>
      <c r="M1" s="1725"/>
      <c r="N1" s="1725"/>
      <c r="O1" s="1725"/>
      <c r="P1" s="1725"/>
      <c r="Q1" s="1725"/>
      <c r="R1" s="1725"/>
      <c r="S1" s="1725"/>
      <c r="T1" s="1725"/>
      <c r="U1" s="1725"/>
      <c r="V1" s="1725"/>
      <c r="W1" s="1725"/>
      <c r="X1" s="1725"/>
      <c r="Y1" s="1726"/>
      <c r="Z1" s="1725"/>
      <c r="AA1" s="1727" t="s">
        <v>0</v>
      </c>
      <c r="AB1" s="1725"/>
    </row>
    <row customHeight="1" ht="17.25">
      <c r="A2" s="1725"/>
      <c r="B2" s="1923" t="s">
        <v>1</v>
      </c>
      <c r="C2" s="1923"/>
      <c r="D2" s="1923"/>
      <c r="E2" s="1923"/>
      <c r="F2" s="1923"/>
      <c r="G2" s="1923"/>
      <c r="H2" s="1923"/>
      <c r="I2" s="1923"/>
      <c r="J2" s="1923"/>
      <c r="K2" s="1923"/>
      <c r="L2" s="1923"/>
      <c r="M2" s="1923"/>
      <c r="N2" s="1923"/>
      <c r="O2" s="1923"/>
      <c r="P2" s="1923"/>
      <c r="Q2" s="1729"/>
      <c r="R2" s="1729"/>
      <c r="S2" s="1729"/>
      <c r="T2" s="1729"/>
      <c r="U2" s="1729"/>
      <c r="V2" s="1730"/>
      <c r="W2" s="1729"/>
      <c r="X2" s="1729"/>
      <c r="Y2" s="1726"/>
      <c r="Z2" s="1725"/>
      <c r="AA2" s="1727"/>
      <c r="AB2" s="1725"/>
    </row>
    <row customHeight="1" ht="15.75">
      <c r="A3" s="1725"/>
      <c r="B3" s="1924" t="s">
        <v>2</v>
      </c>
      <c r="C3" s="1924"/>
      <c r="D3" s="1924"/>
      <c r="E3" s="1924"/>
      <c r="F3" s="1924"/>
      <c r="G3" s="1924"/>
      <c r="H3" s="1924"/>
      <c r="I3" s="1924"/>
      <c r="J3" s="1924"/>
      <c r="K3" s="1924"/>
      <c r="L3" s="1924"/>
      <c r="M3" s="1924"/>
      <c r="N3" s="1924"/>
      <c r="O3" s="1924"/>
      <c r="P3" s="1924"/>
      <c r="Q3" s="1730"/>
      <c r="R3" s="1730"/>
      <c r="S3" s="1729"/>
      <c r="T3" s="1729"/>
      <c r="U3" s="1729"/>
      <c r="V3" s="1730"/>
      <c r="W3" s="1730"/>
      <c r="X3" s="1730"/>
      <c r="Y3" s="1730"/>
      <c r="Z3" s="1725"/>
      <c r="AA3" s="1727"/>
      <c r="AB3" s="1725"/>
    </row>
    <row customHeight="1" ht="17.25">
      <c r="A4" s="1725"/>
      <c r="B4" s="1731"/>
      <c r="C4" s="1725"/>
      <c r="D4" s="1730"/>
      <c r="E4" s="1730"/>
      <c r="F4" s="1730"/>
      <c r="G4" s="1730"/>
      <c r="H4" s="1730"/>
      <c r="I4" s="1730"/>
      <c r="J4" s="1730"/>
      <c r="K4" s="1730"/>
      <c r="L4" s="1730"/>
      <c r="M4" s="1730"/>
      <c r="N4" s="1730"/>
      <c r="O4" s="1730"/>
      <c r="P4" s="1730"/>
      <c r="Q4" s="1730"/>
      <c r="R4" s="1730"/>
      <c r="S4" s="1730"/>
      <c r="T4" s="1730"/>
      <c r="U4" s="1730"/>
      <c r="V4" s="1730"/>
      <c r="W4" s="1730"/>
      <c r="X4" s="1730"/>
      <c r="Y4" s="1730"/>
      <c r="Z4" s="1725"/>
      <c r="AA4" s="1727"/>
      <c r="AB4" s="1725"/>
    </row>
    <row customHeight="1" ht="22.5">
      <c r="A5" s="1732"/>
      <c r="B5" s="1925"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1926"/>
      <c r="D5" s="1926"/>
      <c r="E5" s="1926"/>
      <c r="F5" s="1926"/>
      <c r="G5" s="1926"/>
      <c r="H5" s="1926"/>
      <c r="I5" s="1926"/>
      <c r="J5" s="1926"/>
      <c r="K5" s="1926"/>
      <c r="L5" s="1926"/>
      <c r="M5" s="1926"/>
      <c r="N5" s="1926"/>
      <c r="O5" s="1926"/>
      <c r="P5" s="1926"/>
      <c r="Q5" s="1926"/>
      <c r="R5" s="1926"/>
      <c r="S5" s="1926"/>
      <c r="T5" s="1926"/>
      <c r="U5" s="1926"/>
      <c r="V5" s="1926"/>
      <c r="W5" s="1926"/>
      <c r="X5" s="1926"/>
      <c r="Y5" s="1927"/>
      <c r="Z5" s="1732"/>
      <c r="AA5" s="1727"/>
      <c r="AB5" s="1732"/>
    </row>
    <row customHeight="1" ht="15">
      <c r="A6" s="1733"/>
      <c r="B6" s="1915" t="s">
        <v>3</v>
      </c>
      <c r="C6" s="1918"/>
      <c r="D6" s="1734"/>
      <c r="E6" s="1734"/>
      <c r="F6" s="1734"/>
      <c r="G6" s="1734"/>
      <c r="H6" s="1734"/>
      <c r="I6" s="1734"/>
      <c r="J6" s="1734"/>
      <c r="K6" s="1734"/>
      <c r="L6" s="1734"/>
      <c r="M6" s="1734"/>
      <c r="N6" s="1734"/>
      <c r="O6" s="1734"/>
      <c r="P6" s="1734"/>
      <c r="Q6" s="1734"/>
      <c r="R6" s="1734"/>
      <c r="S6" s="1734"/>
      <c r="T6" s="1734"/>
      <c r="U6" s="1734"/>
      <c r="V6" s="1734"/>
      <c r="W6" s="1734"/>
      <c r="X6" s="1734"/>
      <c r="Y6" s="1735"/>
      <c r="Z6" s="1736"/>
      <c r="AA6" s="1737"/>
      <c r="AB6" s="1737"/>
    </row>
    <row customHeight="1" ht="15">
      <c r="A7" s="1733"/>
      <c r="B7" s="1915"/>
      <c r="C7" s="1918"/>
      <c r="D7" s="1734"/>
      <c r="E7" s="1734"/>
      <c r="F7" s="1738"/>
      <c r="G7" s="1738"/>
      <c r="H7" s="1738"/>
      <c r="I7" s="1738"/>
      <c r="J7" s="1738"/>
      <c r="K7" s="1738"/>
      <c r="L7" s="1738"/>
      <c r="M7" s="1738"/>
      <c r="N7" s="1738"/>
      <c r="O7" s="1734"/>
      <c r="P7" s="1738"/>
      <c r="Q7" s="1738"/>
      <c r="R7" s="1738"/>
      <c r="S7" s="1738"/>
      <c r="T7" s="1738"/>
      <c r="U7" s="1738"/>
      <c r="V7" s="1738"/>
      <c r="W7" s="1738"/>
      <c r="X7" s="1738"/>
      <c r="Y7" s="1735"/>
      <c r="Z7" s="1736"/>
      <c r="AA7" s="1737"/>
      <c r="AB7" s="1737"/>
    </row>
    <row customHeight="1" ht="15">
      <c r="A8" s="1733"/>
      <c r="B8" s="1915"/>
      <c r="C8" s="1918"/>
      <c r="D8" s="1739"/>
      <c r="E8" s="1740" t="s">
        <v>4</v>
      </c>
      <c r="F8" s="1928" t="s">
        <v>5</v>
      </c>
      <c r="G8" s="1917"/>
      <c r="H8" s="1917"/>
      <c r="I8" s="1917"/>
      <c r="J8" s="1917"/>
      <c r="K8" s="1917"/>
      <c r="L8" s="1917"/>
      <c r="M8" s="1917"/>
      <c r="N8" s="1739"/>
      <c r="O8" s="1741" t="s">
        <v>4</v>
      </c>
      <c r="P8" s="1929" t="s">
        <v>6</v>
      </c>
      <c r="Q8" s="1930"/>
      <c r="R8" s="1930"/>
      <c r="S8" s="1930"/>
      <c r="T8" s="1930"/>
      <c r="U8" s="1930"/>
      <c r="V8" s="1930"/>
      <c r="W8" s="1930"/>
      <c r="X8" s="1930"/>
      <c r="Y8" s="1735"/>
      <c r="Z8" s="1736"/>
      <c r="AA8" s="1737"/>
      <c r="AB8" s="1737"/>
    </row>
    <row customHeight="1" ht="15">
      <c r="A9" s="1733"/>
      <c r="B9" s="1915"/>
      <c r="C9" s="1918"/>
      <c r="D9" s="1739"/>
      <c r="E9" s="1742" t="s">
        <v>4</v>
      </c>
      <c r="F9" s="1928" t="s">
        <v>7</v>
      </c>
      <c r="G9" s="1917"/>
      <c r="H9" s="1917"/>
      <c r="I9" s="1917"/>
      <c r="J9" s="1917"/>
      <c r="K9" s="1917"/>
      <c r="L9" s="1917"/>
      <c r="M9" s="1917"/>
      <c r="N9" s="1739"/>
      <c r="O9" s="1743" t="s">
        <v>4</v>
      </c>
      <c r="P9" s="1929" t="s">
        <v>8</v>
      </c>
      <c r="Q9" s="1930"/>
      <c r="R9" s="1930"/>
      <c r="S9" s="1930"/>
      <c r="T9" s="1930"/>
      <c r="U9" s="1930"/>
      <c r="V9" s="1930"/>
      <c r="W9" s="1930"/>
      <c r="X9" s="1930"/>
      <c r="Y9" s="1735"/>
      <c r="Z9" s="1736"/>
      <c r="AA9" s="1737"/>
      <c r="AB9" s="1737"/>
    </row>
    <row customHeight="1" ht="30">
      <c r="A10" s="1733"/>
      <c r="B10" s="1915"/>
      <c r="C10" s="1916"/>
      <c r="D10" s="1744"/>
      <c r="E10" s="1745"/>
      <c r="F10" s="1738"/>
      <c r="G10" s="1738"/>
      <c r="H10" s="1738"/>
      <c r="I10" s="1738"/>
      <c r="J10" s="1738"/>
      <c r="K10" s="1738"/>
      <c r="L10" s="1738"/>
      <c r="M10" s="1738"/>
      <c r="N10" s="1738"/>
      <c r="O10" s="1745"/>
      <c r="P10" s="1738"/>
      <c r="Q10" s="1738"/>
      <c r="R10" s="1738"/>
      <c r="S10" s="1738"/>
      <c r="T10" s="1738"/>
      <c r="U10" s="1738"/>
      <c r="V10" s="1738"/>
      <c r="W10" s="1738"/>
      <c r="X10" s="1738"/>
      <c r="Y10" s="1735"/>
      <c r="Z10" s="1736"/>
      <c r="AA10" s="1737"/>
      <c r="AB10" s="1737"/>
    </row>
    <row customHeight="1" ht="19.5">
      <c r="A11" s="1733"/>
      <c r="B11" s="1913" t="s">
        <v>9</v>
      </c>
      <c r="C11" s="1914"/>
      <c r="D11" s="1739"/>
      <c r="E11" s="1746"/>
      <c r="F11" s="1746"/>
      <c r="G11" s="1746"/>
      <c r="H11" s="1746"/>
      <c r="I11" s="1746"/>
      <c r="J11" s="1746"/>
      <c r="K11" s="1746"/>
      <c r="L11" s="1746"/>
      <c r="M11" s="1746"/>
      <c r="N11" s="1746"/>
      <c r="O11" s="1746"/>
      <c r="P11" s="1746"/>
      <c r="Q11" s="1746"/>
      <c r="R11" s="1746"/>
      <c r="S11" s="1746"/>
      <c r="T11" s="1746"/>
      <c r="U11" s="1746"/>
      <c r="V11" s="1746"/>
      <c r="W11" s="1746"/>
      <c r="X11" s="1746"/>
      <c r="Y11" s="1735"/>
      <c r="Z11" s="1736"/>
      <c r="AA11" s="1737"/>
      <c r="AB11" s="1737"/>
    </row>
    <row customHeight="1" ht="69">
      <c r="A12" s="1733"/>
      <c r="B12" s="1915"/>
      <c r="C12" s="1916"/>
      <c r="D12" s="1747"/>
      <c r="E12" s="1917" t="s">
        <v>10</v>
      </c>
      <c r="F12" s="1917"/>
      <c r="G12" s="1917"/>
      <c r="H12" s="1917"/>
      <c r="I12" s="1917"/>
      <c r="J12" s="1917"/>
      <c r="K12" s="1917"/>
      <c r="L12" s="1917"/>
      <c r="M12" s="1917"/>
      <c r="N12" s="1917"/>
      <c r="O12" s="1917"/>
      <c r="P12" s="1917"/>
      <c r="Q12" s="1917"/>
      <c r="R12" s="1917"/>
      <c r="S12" s="1917"/>
      <c r="T12" s="1917"/>
      <c r="U12" s="1917"/>
      <c r="V12" s="1917"/>
      <c r="W12" s="1917"/>
      <c r="X12" s="1917"/>
      <c r="Y12" s="1735"/>
      <c r="Z12" s="1736"/>
      <c r="AA12" s="1737"/>
      <c r="AB12" s="1737"/>
    </row>
    <row customHeight="1" ht="15">
      <c r="A13" s="1733"/>
      <c r="B13" s="1913" t="s">
        <v>11</v>
      </c>
      <c r="C13" s="1914"/>
      <c r="D13" s="1734"/>
      <c r="E13" s="1746"/>
      <c r="F13" s="1746"/>
      <c r="G13" s="1746"/>
      <c r="H13" s="1746"/>
      <c r="I13" s="1746"/>
      <c r="J13" s="1746"/>
      <c r="K13" s="1746"/>
      <c r="L13" s="1746"/>
      <c r="M13" s="1746"/>
      <c r="N13" s="1746"/>
      <c r="O13" s="1746"/>
      <c r="P13" s="1746"/>
      <c r="Q13" s="1746"/>
      <c r="R13" s="1746"/>
      <c r="S13" s="1746"/>
      <c r="T13" s="1746"/>
      <c r="U13" s="1746"/>
      <c r="V13" s="1746"/>
      <c r="W13" s="1746"/>
      <c r="X13" s="1746"/>
      <c r="Y13" s="1735"/>
      <c r="Z13" s="1736"/>
      <c r="AA13" s="1737"/>
      <c r="AB13" s="1737"/>
    </row>
    <row customHeight="1" ht="57">
      <c r="A14" s="1733"/>
      <c r="B14" s="1915"/>
      <c r="C14" s="1918"/>
      <c r="D14" s="1739"/>
      <c r="E14" s="1921" t="s">
        <v>12</v>
      </c>
      <c r="F14" s="1921"/>
      <c r="G14" s="1921"/>
      <c r="H14" s="1921"/>
      <c r="I14" s="1921"/>
      <c r="J14" s="1921"/>
      <c r="K14" s="1921"/>
      <c r="L14" s="1921"/>
      <c r="M14" s="1921"/>
      <c r="N14" s="1921"/>
      <c r="O14" s="1921"/>
      <c r="P14" s="1921"/>
      <c r="Q14" s="1921"/>
      <c r="R14" s="1921"/>
      <c r="S14" s="1921"/>
      <c r="T14" s="1921"/>
      <c r="U14" s="1921"/>
      <c r="V14" s="1921"/>
      <c r="W14" s="1921"/>
      <c r="X14" s="1921"/>
      <c r="Y14" s="1735"/>
      <c r="Z14" s="1736"/>
      <c r="AA14" s="1737"/>
      <c r="AB14" s="1737"/>
    </row>
    <row customHeight="1" ht="16.5">
      <c r="A15" s="1733"/>
      <c r="B15" s="1919"/>
      <c r="C15" s="1920"/>
      <c r="D15" s="1748"/>
      <c r="E15" s="1749"/>
      <c r="F15" s="1749"/>
      <c r="G15" s="1749"/>
      <c r="H15" s="1749"/>
      <c r="I15" s="1749"/>
      <c r="J15" s="1749"/>
      <c r="K15" s="1749"/>
      <c r="L15" s="1749"/>
      <c r="M15" s="1749"/>
      <c r="N15" s="1749"/>
      <c r="O15" s="1749"/>
      <c r="P15" s="1749"/>
      <c r="Q15" s="1749"/>
      <c r="R15" s="1749"/>
      <c r="S15" s="1749"/>
      <c r="T15" s="1749"/>
      <c r="U15" s="1749"/>
      <c r="V15" s="1749"/>
      <c r="W15" s="1749"/>
      <c r="X15" s="1749"/>
      <c r="Y15" s="1750"/>
      <c r="Z15" s="1736"/>
      <c r="AA15" s="1751"/>
      <c r="AB15" s="1737"/>
    </row>
    <row customHeight="1" ht="95.25">
      <c r="A16" s="1725"/>
      <c r="B16" s="1921"/>
      <c r="C16" s="1922"/>
      <c r="D16" s="1922"/>
      <c r="E16" s="1922"/>
      <c r="F16" s="1922"/>
      <c r="G16" s="1922"/>
      <c r="H16" s="1922"/>
      <c r="I16" s="1922"/>
      <c r="J16" s="1922"/>
      <c r="K16" s="1922"/>
      <c r="L16" s="1922"/>
      <c r="M16" s="1922"/>
      <c r="N16" s="1922"/>
      <c r="O16" s="1922"/>
      <c r="P16" s="1922"/>
      <c r="Q16" s="1922"/>
      <c r="R16" s="1922"/>
      <c r="S16" s="1922"/>
      <c r="T16" s="1922"/>
      <c r="U16" s="1922"/>
      <c r="V16" s="1922"/>
      <c r="W16" s="1922"/>
      <c r="X16" s="1922"/>
      <c r="Y16" s="1922"/>
      <c r="Z16" s="1725"/>
      <c r="AA16" s="1727"/>
      <c r="AB16" s="1725"/>
    </row>
    <row customHeight="1" ht="14.25">
      <c r="A17" s="1725"/>
      <c r="B17" s="1725"/>
      <c r="C17" s="1725"/>
      <c r="D17" s="1725"/>
      <c r="E17" s="1725"/>
      <c r="F17" s="1725"/>
      <c r="G17" s="1725"/>
      <c r="H17" s="1725"/>
      <c r="I17" s="1725"/>
      <c r="J17" s="1725"/>
      <c r="K17" s="1725"/>
      <c r="L17" s="1725"/>
      <c r="M17" s="1725"/>
      <c r="N17" s="1725"/>
      <c r="O17" s="1725"/>
      <c r="P17" s="1725"/>
      <c r="Q17" s="1725"/>
      <c r="R17" s="1725"/>
      <c r="S17" s="1725"/>
      <c r="T17" s="1725"/>
      <c r="U17" s="1725"/>
      <c r="V17" s="1725"/>
      <c r="W17" s="1725"/>
      <c r="X17" s="1725"/>
      <c r="Y17" s="1726"/>
      <c r="Z17" s="1725"/>
      <c r="AA17" s="1727"/>
      <c r="AB17" s="1725"/>
    </row>
    <row customHeight="1" ht="14.25">
      <c r="A18" s="1725"/>
      <c r="B18" s="1725"/>
      <c r="C18" s="1725"/>
      <c r="D18" s="1725"/>
      <c r="E18" s="1725"/>
      <c r="F18" s="1725"/>
      <c r="G18" s="1725"/>
      <c r="H18" s="1725"/>
      <c r="I18" s="1725"/>
      <c r="J18" s="1725"/>
      <c r="K18" s="1725"/>
      <c r="L18" s="1725"/>
      <c r="M18" s="1725"/>
      <c r="N18" s="1725"/>
      <c r="O18" s="1725"/>
      <c r="P18" s="1725"/>
      <c r="Q18" s="1725"/>
      <c r="R18" s="1725"/>
      <c r="S18" s="1725"/>
      <c r="T18" s="1725"/>
      <c r="U18" s="1725"/>
      <c r="V18" s="1725"/>
      <c r="W18" s="1725"/>
      <c r="X18" s="1725"/>
      <c r="Y18" s="1726"/>
      <c r="Z18" s="1725"/>
      <c r="AA18" s="1727"/>
      <c r="AB18" s="1725"/>
    </row>
    <row customHeight="1" ht="14.25">
      <c r="A19" s="1725"/>
      <c r="B19" s="1725"/>
      <c r="C19" s="1725"/>
      <c r="D19" s="1725"/>
      <c r="E19" s="1725"/>
      <c r="F19" s="1725"/>
      <c r="G19" s="1725"/>
      <c r="H19" s="1725"/>
      <c r="I19" s="1725"/>
      <c r="J19" s="1725"/>
      <c r="K19" s="1725"/>
      <c r="L19" s="1725"/>
      <c r="M19" s="1725"/>
      <c r="N19" s="1725"/>
      <c r="O19" s="1725"/>
      <c r="P19" s="1725"/>
      <c r="Q19" s="1725"/>
      <c r="R19" s="1725"/>
      <c r="S19" s="1725"/>
      <c r="T19" s="1725"/>
      <c r="U19" s="1725"/>
      <c r="V19" s="1725"/>
      <c r="W19" s="1725"/>
      <c r="X19" s="1725"/>
      <c r="Y19" s="1726"/>
      <c r="Z19" s="1725"/>
      <c r="AA19" s="1727"/>
      <c r="AB19" s="1725"/>
    </row>
    <row customHeight="1" ht="14.25">
      <c r="A20" s="1725"/>
      <c r="B20" s="1725"/>
      <c r="C20" s="1725"/>
      <c r="D20" s="1725"/>
      <c r="E20" s="1725"/>
      <c r="F20" s="1725"/>
      <c r="G20" s="1725"/>
      <c r="H20" s="1725"/>
      <c r="I20" s="1725"/>
      <c r="J20" s="1725"/>
      <c r="K20" s="1725"/>
      <c r="L20" s="1725"/>
      <c r="M20" s="1725"/>
      <c r="N20" s="1725"/>
      <c r="O20" s="1725"/>
      <c r="P20" s="1725"/>
      <c r="Q20" s="1725"/>
      <c r="R20" s="1725"/>
      <c r="S20" s="1725"/>
      <c r="T20" s="1725"/>
      <c r="U20" s="1725"/>
      <c r="V20" s="1725"/>
      <c r="W20" s="1725"/>
      <c r="X20" s="1725"/>
      <c r="Y20" s="1726"/>
      <c r="Z20" s="1725"/>
      <c r="AA20" s="1727"/>
      <c r="AB20" s="1725"/>
    </row>
    <row customHeight="1" ht="14.25">
      <c r="A21" s="1725"/>
      <c r="B21" s="1725"/>
      <c r="C21" s="1725"/>
      <c r="D21" s="1725"/>
      <c r="E21" s="1725"/>
      <c r="F21" s="1725"/>
      <c r="G21" s="1725"/>
      <c r="H21" s="1725"/>
      <c r="I21" s="1725"/>
      <c r="J21" s="1725"/>
      <c r="K21" s="1725"/>
      <c r="L21" s="1725"/>
      <c r="M21" s="1725"/>
      <c r="N21" s="1725"/>
      <c r="O21" s="1725"/>
      <c r="P21" s="1725"/>
      <c r="Q21" s="1725"/>
      <c r="R21" s="1725"/>
      <c r="S21" s="1725"/>
      <c r="T21" s="1725"/>
      <c r="U21" s="1725"/>
      <c r="V21" s="1725"/>
      <c r="W21" s="1725"/>
      <c r="X21" s="1725"/>
      <c r="Y21" s="1726"/>
      <c r="Z21" s="1725"/>
      <c r="AA21" s="1727"/>
      <c r="AB21" s="1725"/>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2FC023F-DF7A-3699-CD0E-91CDB98AEDA6}" mc:Ignorable="x14ac xr xr2 xr3">
  <sheetPr>
    <tabColor rgb="FFCCCCFF"/>
  </sheetPr>
  <dimension ref="A1:P78"/>
  <sheetViews>
    <sheetView topLeftCell="C46" showGridLines="0" zoomScale="90" workbookViewId="0">
      <selection activeCell="F67" sqref="F67:F70"/>
    </sheetView>
  </sheetViews>
  <sheetFormatPr defaultColWidth="9.140625" customHeight="1" defaultRowHeight="11.25"/>
  <cols>
    <col min="1" max="1" style="781" width="10.7109375" hidden="1" customWidth="1"/>
    <col min="2" max="2" style="727" width="10.7109375" hidden="1" customWidth="1"/>
    <col min="3" max="3" style="526" width="3.7109375" customWidth="1"/>
    <col min="4" max="4" style="1660" width="1.7109375" customWidth="1"/>
    <col min="5" max="5" style="1660" width="55.28125" customWidth="1"/>
    <col min="6" max="6" style="1660" width="50.7109375" customWidth="1"/>
    <col min="7" max="7" style="1951" width="1.7109375" customWidth="1"/>
    <col min="8" max="8" style="1660" width="18.00390625" hidden="1" customWidth="1"/>
    <col min="9" max="9" style="527" width="9.57421875" customWidth="1"/>
    <col min="10" max="10" style="1383" width="52.140625" hidden="1" customWidth="1"/>
    <col min="11" max="11" style="1660" width="9.140625"/>
    <col min="12" max="12" style="1660" width="78.00390625" customWidth="1"/>
    <col min="13" max="16" style="1660" width="9.140625"/>
  </cols>
  <sheetData>
    <row s="618" customFormat="1" customHeight="1" ht="3">
      <c r="A1" s="777"/>
      <c r="B1" s="220"/>
      <c r="F1" s="221">
        <v>26354809</v>
      </c>
      <c r="G1" s="408"/>
      <c r="H1" s="52"/>
      <c r="I1" s="408"/>
      <c r="J1" s="865"/>
    </row>
    <row s="1657" customFormat="1" customHeight="1" ht="14.25">
      <c r="A2" s="777"/>
      <c r="B2" s="78"/>
      <c r="E2" s="1764" t="str">
        <f>code</f>
        <v>Код отчёта: PP110.OPEN.INFO.PRICE.HEAT.EIAS</v>
      </c>
      <c r="F2" s="248"/>
      <c r="G2" s="224"/>
      <c r="H2" s="224"/>
      <c r="I2" s="224"/>
      <c r="J2" s="866"/>
      <c r="K2" s="224"/>
    </row>
    <row customHeight="1" ht="14.25">
      <c r="E3" s="225" t="str">
        <f>version</f>
        <v>Версия отчёта: 1.0.5</v>
      </c>
      <c r="F3" s="248"/>
      <c r="G3" s="2437"/>
      <c r="H3" s="0"/>
      <c r="I3" s="0"/>
      <c r="J3" s="867"/>
      <c r="K3" s="0"/>
    </row>
    <row s="1637" customFormat="1" customHeight="1" ht="6">
      <c r="A4" s="778"/>
      <c r="B4" s="211"/>
      <c r="C4" s="212"/>
      <c r="D4" s="213"/>
      <c r="E4" s="222"/>
      <c r="F4" s="223"/>
      <c r="G4" s="765"/>
      <c r="H4" s="406"/>
      <c r="I4" s="408"/>
      <c r="J4" s="868"/>
    </row>
    <row customHeight="1" ht="37.5">
      <c r="D5" s="56"/>
      <c r="E5" s="1931" t="str">
        <f>NameTemplatesInTitle</f>
        <v>Показатели, подлежащие раскрытию в сфере теплоснабжения (цены и тарифы)</v>
      </c>
      <c r="F5" s="1932"/>
      <c r="G5" s="766"/>
      <c r="J5" s="869"/>
    </row>
    <row s="1637" customFormat="1" customHeight="1" ht="6">
      <c r="A6" s="778"/>
      <c r="B6" s="211"/>
      <c r="C6" s="212"/>
      <c r="D6" s="213"/>
      <c r="E6" s="216"/>
      <c r="F6" s="217"/>
      <c r="G6" s="766"/>
      <c r="H6" s="406"/>
      <c r="I6" s="408"/>
      <c r="J6" s="868"/>
    </row>
    <row customHeight="1" ht="19.5">
      <c r="D7" s="56"/>
      <c r="E7" s="388" t="s">
        <v>13</v>
      </c>
      <c r="F7" s="194" t="s">
        <v>14</v>
      </c>
      <c r="G7" s="766"/>
    </row>
    <row s="1637" customFormat="1" customHeight="1" ht="6">
      <c r="A8" s="779"/>
      <c r="B8" s="211"/>
      <c r="C8" s="212"/>
      <c r="D8" s="218"/>
      <c r="E8" s="216"/>
      <c r="F8" s="219"/>
      <c r="G8" s="58"/>
      <c r="H8" s="406"/>
      <c r="I8" s="408"/>
      <c r="J8" s="871"/>
    </row>
    <row s="1660" customFormat="1" customHeight="1" ht="19.5" hidden="1">
      <c r="A9" s="778"/>
      <c r="B9" s="78"/>
      <c r="C9" s="405"/>
      <c r="D9" s="407"/>
      <c r="E9" s="1160" t="s">
        <v>15</v>
      </c>
      <c r="F9" s="1146"/>
      <c r="G9" s="766"/>
      <c r="I9" s="408"/>
      <c r="J9" s="870"/>
    </row>
    <row s="1637" customFormat="1" customHeight="1" ht="6">
      <c r="A10" s="779"/>
      <c r="B10" s="422"/>
      <c r="C10" s="423"/>
      <c r="D10" s="218"/>
      <c r="E10" s="216"/>
      <c r="F10" s="219"/>
      <c r="G10" s="58"/>
      <c r="H10" s="406"/>
      <c r="I10" s="408"/>
      <c r="J10" s="871"/>
    </row>
    <row customHeight="1" ht="22.5">
      <c r="A11" s="1934" t="s">
        <v>16</v>
      </c>
      <c r="D11" s="56"/>
      <c r="E11" s="1160" t="s">
        <v>17</v>
      </c>
      <c r="F11" s="1756">
        <v>45292.58189814815</v>
      </c>
      <c r="G11" s="58"/>
      <c r="H11" s="767" t="s">
        <v>18</v>
      </c>
      <c r="J11" s="870" t="s">
        <v>19</v>
      </c>
    </row>
    <row customHeight="1" ht="22.5">
      <c r="A12" s="1934"/>
      <c r="D12" s="56"/>
      <c r="E12" s="1160" t="s">
        <v>20</v>
      </c>
      <c r="F12" s="1756">
        <v>47118.58194444444</v>
      </c>
      <c r="G12" s="54"/>
      <c r="J12" s="870" t="s">
        <v>21</v>
      </c>
    </row>
    <row s="1660" customFormat="1" customHeight="1" ht="22.5" hidden="1">
      <c r="A13" s="782" t="s">
        <v>22</v>
      </c>
      <c r="B13" s="78"/>
      <c r="C13" s="405"/>
      <c r="D13" s="407"/>
      <c r="E13" s="1800" t="s">
        <v>23</v>
      </c>
      <c r="F13" s="1756" t="s">
        <v>24</v>
      </c>
      <c r="G13" s="58"/>
      <c r="H13" s="0"/>
      <c r="I13" s="408"/>
      <c r="J13" s="1801" t="s">
        <v>25</v>
      </c>
    </row>
    <row s="1660" customFormat="1" customHeight="1" ht="27" hidden="1">
      <c r="A14" s="782" t="s">
        <v>26</v>
      </c>
      <c r="B14" s="78"/>
      <c r="C14" s="405"/>
      <c r="D14" s="407"/>
      <c r="E14" s="1160" t="s">
        <v>27</v>
      </c>
      <c r="F14" s="1792"/>
      <c r="G14" s="58"/>
      <c r="H14" s="0"/>
      <c r="I14" s="408"/>
      <c r="J14" s="870" t="s">
        <v>28</v>
      </c>
    </row>
    <row s="1660" customFormat="1" customHeight="1" ht="19.5" hidden="1">
      <c r="A15" s="782" t="s">
        <v>29</v>
      </c>
      <c r="B15" s="78"/>
      <c r="C15" s="405"/>
      <c r="D15" s="407"/>
      <c r="E15" s="1160" t="s">
        <v>30</v>
      </c>
      <c r="F15" s="1792"/>
      <c r="G15" s="58"/>
      <c r="H15" s="0"/>
      <c r="I15" s="408"/>
      <c r="J15" s="870" t="s">
        <v>31</v>
      </c>
    </row>
    <row s="1637" customFormat="1" customHeight="1" ht="6">
      <c r="A16" s="779"/>
      <c r="B16" s="211"/>
      <c r="C16" s="212"/>
      <c r="D16" s="218"/>
      <c r="E16" s="216"/>
      <c r="F16" s="219"/>
      <c r="G16" s="58"/>
      <c r="H16" s="406"/>
      <c r="I16" s="408"/>
      <c r="J16" s="868"/>
    </row>
    <row customHeight="1" ht="19.5">
      <c r="D17" s="56"/>
      <c r="E17" s="388" t="s">
        <v>32</v>
      </c>
      <c r="F17" s="195" t="s">
        <v>33</v>
      </c>
      <c r="G17" s="54"/>
      <c r="H17" s="767" t="s">
        <v>18</v>
      </c>
    </row>
    <row customHeight="1" ht="25.5" hidden="1">
      <c r="D18" s="56"/>
      <c r="E18" s="1800" t="s">
        <v>34</v>
      </c>
      <c r="F18" s="1757"/>
      <c r="G18" s="54"/>
      <c r="I18" s="768"/>
      <c r="J18" s="1933" t="s">
        <v>35</v>
      </c>
    </row>
    <row customHeight="1" ht="25.5" hidden="1">
      <c r="D19" s="56"/>
      <c r="E19" s="1160"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57"/>
      <c r="G19" s="54"/>
      <c r="I19" s="768"/>
      <c r="J19" s="1933"/>
    </row>
    <row customHeight="1" ht="22.5">
      <c r="D20" s="56"/>
      <c r="E20" s="57"/>
      <c r="F20" s="249" t="str">
        <f>"Первичное "&amp;IF(TEMPLATE_GROUP="P","установление тарифов","предложение по тарифам")</f>
        <v>Первичное установление тарифов</v>
      </c>
      <c r="G20" s="54"/>
      <c r="I20" s="391"/>
      <c r="J20" s="869" t="s">
        <v>36</v>
      </c>
    </row>
    <row customHeight="1" ht="19.5">
      <c r="D21" s="56"/>
      <c r="E21" s="388" t="str">
        <f>"Дата "&amp;IF(TEMPLATE_GROUP="P","документа","подачи заявления")&amp;" об утверждении тарифов"</f>
        <v>Дата документа об утверждении тарифов</v>
      </c>
      <c r="F21" s="1756">
        <v>45268.58207175926</v>
      </c>
      <c r="G21" s="54"/>
      <c r="I21" s="769"/>
    </row>
    <row customHeight="1" ht="19.5">
      <c r="D22" s="56"/>
      <c r="E22" s="388" t="str">
        <f>"Номер "&amp;IF(TEMPLATE_GROUP="P","документа","подачи заявления")&amp;" об утверждении тарифов"</f>
        <v>Номер документа об утверждении тарифов</v>
      </c>
      <c r="F22" s="195" t="s">
        <v>37</v>
      </c>
      <c r="G22" s="54"/>
      <c r="I22" s="769"/>
    </row>
    <row customHeight="1" ht="22.5">
      <c r="D23" s="56"/>
      <c r="E23" s="388" t="s">
        <v>38</v>
      </c>
      <c r="F23" s="195" t="s">
        <v>39</v>
      </c>
      <c r="G23" s="54"/>
    </row>
    <row customHeight="1" ht="19.5">
      <c r="D24" s="56"/>
      <c r="E24" s="388" t="s">
        <v>40</v>
      </c>
      <c r="F24" s="2438" t="s">
        <v>41</v>
      </c>
      <c r="G24" s="54"/>
    </row>
    <row customHeight="1" ht="22.5" hidden="1">
      <c r="D25" s="56"/>
      <c r="E25" s="57"/>
      <c r="F25" s="249" t="str">
        <f>"Изменение "&amp;IF(TEMPLATE_GROUP="P","тарифов","предложения по тарифам")</f>
        <v>Изменение тарифов</v>
      </c>
      <c r="G25" s="54"/>
      <c r="J25" s="869" t="s">
        <v>42</v>
      </c>
    </row>
    <row customHeight="1" ht="19.5" hidden="1">
      <c r="D26" s="56"/>
      <c r="E26" s="388" t="str">
        <f>"Дата "&amp;IF(TEMPLATE_GROUP="P","принятия решения","подачи заявления")&amp;" об изменении тарифов"</f>
        <v>Дата принятия решения об изменении тарифов</v>
      </c>
      <c r="F26" s="1757"/>
      <c r="G26" s="54"/>
    </row>
    <row customHeight="1" ht="19.5" hidden="1">
      <c r="D27" s="56"/>
      <c r="E27" s="1160" t="str">
        <f>"Номер "&amp;IF(TEMPLATE_GROUP="P","принятия решения","заявления")&amp;" об изменении тарифов"</f>
        <v>Номер принятия решения об изменении тарифов</v>
      </c>
      <c r="F27" s="197"/>
      <c r="G27" s="54"/>
    </row>
    <row customHeight="1" ht="24.75" hidden="1">
      <c r="D28" s="56"/>
      <c r="E28" s="388" t="s">
        <v>43</v>
      </c>
      <c r="F28" s="197"/>
      <c r="G28" s="54"/>
    </row>
    <row customHeight="1" ht="19.5" hidden="1">
      <c r="D29" s="56"/>
      <c r="E29" s="388" t="s">
        <v>40</v>
      </c>
      <c r="F29" s="197"/>
      <c r="G29" s="54"/>
    </row>
    <row s="1637" customFormat="1" customHeight="1" ht="6">
      <c r="A30" s="779"/>
      <c r="B30" s="211"/>
      <c r="C30" s="212"/>
      <c r="D30" s="218"/>
      <c r="E30" s="216"/>
      <c r="F30" s="219"/>
      <c r="G30" s="58"/>
      <c r="H30" s="406"/>
      <c r="I30" s="408"/>
      <c r="J30" s="868"/>
    </row>
    <row customHeight="1" ht="19.5">
      <c r="C31" s="59"/>
      <c r="D31" s="60"/>
      <c r="E31" s="388" t="s">
        <v>44</v>
      </c>
      <c r="F31" s="196" t="s">
        <v>45</v>
      </c>
      <c r="G31" s="770"/>
    </row>
    <row customHeight="1" ht="19.5" hidden="1">
      <c r="C32" s="59"/>
      <c r="D32" s="60"/>
      <c r="E32" s="389" t="s">
        <v>46</v>
      </c>
      <c r="F32" s="1791"/>
      <c r="G32" s="770"/>
    </row>
    <row customHeight="1" ht="19.5">
      <c r="C33" s="59"/>
      <c r="D33" s="60"/>
      <c r="E33" s="388" t="s">
        <v>47</v>
      </c>
      <c r="F33" s="196" t="s">
        <v>48</v>
      </c>
      <c r="G33" s="770"/>
    </row>
    <row customHeight="1" ht="19.5">
      <c r="C34" s="59"/>
      <c r="D34" s="60"/>
      <c r="E34" s="388" t="s">
        <v>49</v>
      </c>
      <c r="F34" s="196" t="s">
        <v>50</v>
      </c>
      <c r="G34" s="770"/>
      <c r="H34" s="61"/>
    </row>
    <row s="1637" customFormat="1" customHeight="1" ht="11.25">
      <c r="A35" s="779"/>
      <c r="B35" s="211"/>
      <c r="C35" s="212"/>
      <c r="D35" s="218"/>
      <c r="E35" s="216"/>
      <c r="F35" s="219"/>
      <c r="G35" s="58"/>
      <c r="H35" s="406"/>
      <c r="I35" s="408"/>
      <c r="J35" s="868"/>
    </row>
    <row customHeight="1" ht="19.5">
      <c r="A36" s="873"/>
      <c r="D36" s="60"/>
      <c r="E36" s="388" t="s">
        <v>51</v>
      </c>
      <c r="F36" s="1207" t="s">
        <v>52</v>
      </c>
      <c r="G36" s="58"/>
    </row>
    <row customHeight="1" ht="19.5">
      <c r="A37" s="873"/>
      <c r="D37" s="60"/>
      <c r="E37" s="388" t="s">
        <v>53</v>
      </c>
      <c r="F37" s="1207" t="s">
        <v>54</v>
      </c>
      <c r="G37" s="58"/>
    </row>
    <row s="1637" customFormat="1" customHeight="1" ht="6">
      <c r="A38" s="779"/>
      <c r="B38" s="211"/>
      <c r="C38" s="212"/>
      <c r="D38" s="213"/>
      <c r="E38" s="214"/>
      <c r="F38" s="1048"/>
      <c r="G38" s="54"/>
      <c r="H38" s="406"/>
      <c r="I38" s="408"/>
      <c r="J38" s="870"/>
    </row>
    <row customHeight="1" ht="22.5">
      <c r="A39" s="779"/>
      <c r="D39" s="56"/>
      <c r="E39" s="388" t="s">
        <v>55</v>
      </c>
      <c r="F39" s="705" t="s">
        <v>56</v>
      </c>
      <c r="G39" s="54"/>
      <c r="H39" s="767" t="s">
        <v>18</v>
      </c>
    </row>
    <row s="1637" customFormat="1" customHeight="1" ht="6" hidden="1">
      <c r="A40" s="778"/>
      <c r="B40" s="422"/>
      <c r="C40" s="423"/>
      <c r="D40" s="424"/>
      <c r="E40" s="425"/>
      <c r="F40" s="1048"/>
      <c r="G40" s="54"/>
      <c r="H40" s="406"/>
      <c r="I40" s="408"/>
      <c r="J40" s="870"/>
    </row>
    <row s="1660" customFormat="1" customHeight="1" ht="19.5" hidden="1">
      <c r="A41" s="782" t="s">
        <v>22</v>
      </c>
      <c r="B41" s="410"/>
      <c r="C41" s="405"/>
      <c r="D41" s="407"/>
      <c r="E41" s="388"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05" t="s">
        <v>56</v>
      </c>
      <c r="G41" s="54"/>
      <c r="I41" s="408"/>
      <c r="J41" s="870"/>
    </row>
    <row s="1637" customFormat="1" customHeight="1" ht="6">
      <c r="A42" s="778"/>
      <c r="B42" s="422"/>
      <c r="C42" s="423"/>
      <c r="D42" s="424"/>
      <c r="E42" s="425"/>
      <c r="F42" s="1048"/>
      <c r="G42" s="54"/>
      <c r="H42" s="406"/>
      <c r="I42" s="408"/>
      <c r="J42" s="868"/>
    </row>
    <row s="1660" customFormat="1" customHeight="1" ht="22.5">
      <c r="A43" s="778"/>
      <c r="B43" s="410"/>
      <c r="C43" s="405"/>
      <c r="D43" s="407"/>
      <c r="E43" s="388" t="s">
        <v>57</v>
      </c>
      <c r="F43" s="705" t="s">
        <v>56</v>
      </c>
      <c r="G43" s="54"/>
      <c r="I43" s="408"/>
      <c r="J43" s="870"/>
    </row>
    <row s="1660" customFormat="1" customHeight="1" ht="22.5">
      <c r="A44" s="778"/>
      <c r="B44" s="410"/>
      <c r="C44" s="405"/>
      <c r="D44" s="407"/>
      <c r="E44" s="1160" t="s">
        <v>58</v>
      </c>
      <c r="F44" s="2436"/>
      <c r="G44" s="54"/>
      <c r="I44" s="408"/>
      <c r="J44" s="870"/>
    </row>
    <row s="1637" customFormat="1" customHeight="1" ht="6">
      <c r="A45" s="778"/>
      <c r="B45" s="422"/>
      <c r="C45" s="423"/>
      <c r="D45" s="424"/>
      <c r="E45" s="425"/>
      <c r="F45" s="1048"/>
      <c r="G45" s="54"/>
      <c r="H45" s="406"/>
      <c r="I45" s="408"/>
      <c r="J45" s="870"/>
    </row>
    <row s="1637" customFormat="1" customHeight="1" ht="22.5">
      <c r="A46" s="778"/>
      <c r="B46" s="422"/>
      <c r="C46" s="423"/>
      <c r="D46" s="424"/>
      <c r="E46" s="1160" t="s">
        <v>59</v>
      </c>
      <c r="F46" s="705" t="s">
        <v>56</v>
      </c>
      <c r="G46" s="54"/>
      <c r="H46" s="406"/>
      <c r="I46" s="408"/>
      <c r="J46" s="870"/>
    </row>
    <row s="1660" customFormat="1" customHeight="1" ht="22.5">
      <c r="A47" s="778"/>
      <c r="B47" s="410"/>
      <c r="C47" s="405"/>
      <c r="D47" s="407"/>
      <c r="E47" s="1160" t="s">
        <v>60</v>
      </c>
      <c r="F47" s="705" t="s">
        <v>56</v>
      </c>
      <c r="G47" s="54"/>
      <c r="I47" s="408"/>
      <c r="J47" s="870"/>
    </row>
    <row s="1637" customFormat="1" customHeight="1" ht="6">
      <c r="A48" s="778"/>
      <c r="B48" s="211"/>
      <c r="C48" s="212"/>
      <c r="D48" s="213"/>
      <c r="E48" s="214"/>
      <c r="F48" s="1048"/>
      <c r="G48" s="54"/>
      <c r="H48" s="406"/>
      <c r="I48" s="408"/>
      <c r="J48" s="870"/>
    </row>
    <row customHeight="1" ht="19.5">
      <c r="B49" s="128"/>
      <c r="D49" s="56"/>
      <c r="E49" s="38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05" t="s">
        <v>56</v>
      </c>
      <c r="G49" s="54"/>
    </row>
    <row s="1637" customFormat="1" customHeight="1" ht="6" hidden="1">
      <c r="A50" s="779"/>
      <c r="B50" s="422"/>
      <c r="C50" s="423"/>
      <c r="D50" s="218"/>
      <c r="E50" s="216"/>
      <c r="F50" s="219"/>
      <c r="G50" s="58"/>
      <c r="H50" s="406"/>
      <c r="I50" s="408"/>
      <c r="J50" s="870"/>
    </row>
    <row s="1660" customFormat="1" customHeight="1" ht="22.5" hidden="1">
      <c r="A51" s="780"/>
      <c r="B51" s="410"/>
      <c r="C51" s="526"/>
      <c r="D51" s="527"/>
      <c r="E51" s="388" t="s">
        <v>61</v>
      </c>
      <c r="F51" s="705" t="s">
        <v>56</v>
      </c>
      <c r="G51" s="528"/>
      <c r="I51" s="530"/>
      <c r="J51" s="872"/>
      <c r="P51" s="531"/>
    </row>
    <row s="1637" customFormat="1" customHeight="1" ht="6" hidden="1">
      <c r="A52" s="779"/>
      <c r="B52" s="422"/>
      <c r="C52" s="423"/>
      <c r="D52" s="218"/>
      <c r="E52" s="216"/>
      <c r="F52" s="219"/>
      <c r="G52" s="58"/>
      <c r="H52" s="406"/>
      <c r="I52" s="408"/>
      <c r="J52" s="868"/>
    </row>
    <row s="1660" customFormat="1" customHeight="1" ht="22.5" hidden="1">
      <c r="A53" s="780"/>
      <c r="B53" s="410"/>
      <c r="C53" s="526"/>
      <c r="D53" s="527"/>
      <c r="E53" s="388" t="s">
        <v>62</v>
      </c>
      <c r="F53" s="1043" t="s">
        <v>56</v>
      </c>
      <c r="G53" s="528"/>
      <c r="I53" s="530"/>
      <c r="J53" s="872"/>
      <c r="P53" s="531"/>
    </row>
    <row s="1660" customFormat="1" customHeight="1" ht="22.5" hidden="1">
      <c r="A54" s="780"/>
      <c r="B54" s="410"/>
      <c r="C54" s="526"/>
      <c r="D54" s="527"/>
      <c r="E54" s="388" t="s">
        <v>63</v>
      </c>
      <c r="F54" s="1799"/>
      <c r="G54" s="528"/>
      <c r="I54" s="530"/>
      <c r="J54" s="872"/>
      <c r="P54" s="531"/>
    </row>
    <row s="1637" customFormat="1" customHeight="1" ht="6" hidden="1">
      <c r="A55" s="779"/>
      <c r="B55" s="422"/>
      <c r="C55" s="423"/>
      <c r="D55" s="218"/>
      <c r="E55" s="216"/>
      <c r="F55" s="219"/>
      <c r="G55" s="58"/>
      <c r="H55" s="406"/>
      <c r="I55" s="408"/>
      <c r="J55" s="868"/>
    </row>
    <row s="1660" customFormat="1" customHeight="1" ht="22.5" hidden="1">
      <c r="A56" s="780"/>
      <c r="B56" s="410"/>
      <c r="C56" s="526"/>
      <c r="D56" s="527"/>
      <c r="E56" s="388" t="s">
        <v>64</v>
      </c>
      <c r="F56" s="1043" t="s">
        <v>56</v>
      </c>
      <c r="G56" s="528"/>
      <c r="I56" s="530"/>
      <c r="J56" s="872"/>
      <c r="P56" s="531"/>
    </row>
    <row s="1637" customFormat="1" customHeight="1" ht="6" hidden="1">
      <c r="A57" s="779"/>
      <c r="B57" s="422"/>
      <c r="C57" s="423"/>
      <c r="D57" s="218"/>
      <c r="E57" s="216"/>
      <c r="F57" s="219"/>
      <c r="G57" s="58"/>
      <c r="H57" s="406"/>
      <c r="I57" s="408"/>
      <c r="J57" s="868"/>
    </row>
    <row s="1660" customFormat="1" customHeight="1" ht="15" hidden="1">
      <c r="A58" s="780"/>
      <c r="B58" s="410"/>
      <c r="C58" s="526"/>
      <c r="D58" s="527"/>
      <c r="E58" s="388" t="s">
        <v>65</v>
      </c>
      <c r="F58" s="1043" t="s">
        <v>66</v>
      </c>
      <c r="G58" s="528"/>
      <c r="I58" s="530"/>
      <c r="J58" s="872"/>
      <c r="P58" s="531"/>
    </row>
    <row s="1660" customFormat="1" customHeight="1" ht="15" hidden="1">
      <c r="A59" s="780"/>
      <c r="B59" s="410"/>
      <c r="C59" s="526"/>
      <c r="D59" s="527"/>
      <c r="E59" s="38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86"/>
      <c r="G59" s="528"/>
      <c r="I59" s="530"/>
      <c r="J59" s="872"/>
      <c r="P59" s="531"/>
    </row>
    <row s="1660" customFormat="1" customHeight="1" ht="15" hidden="1">
      <c r="A60" s="780"/>
      <c r="B60" s="410"/>
      <c r="C60" s="526"/>
      <c r="D60" s="527"/>
      <c r="E60" s="1160" t="s">
        <v>67</v>
      </c>
      <c r="F60" s="1146"/>
      <c r="G60" s="528"/>
      <c r="I60" s="530"/>
      <c r="J60" s="872"/>
      <c r="P60" s="531"/>
    </row>
    <row s="1637" customFormat="1" customHeight="1" ht="6" hidden="1">
      <c r="A61" s="779"/>
      <c r="B61" s="422"/>
      <c r="C61" s="423"/>
      <c r="D61" s="424"/>
      <c r="E61" s="425"/>
      <c r="F61" s="1048"/>
      <c r="G61" s="54"/>
      <c r="H61" s="406"/>
      <c r="I61" s="408"/>
      <c r="J61" s="870"/>
    </row>
    <row s="1660" customFormat="1" customHeight="1" ht="33.75" hidden="1">
      <c r="A62" s="779"/>
      <c r="B62" s="78"/>
      <c r="C62" s="405"/>
      <c r="D62" s="407"/>
      <c r="E62" s="1160" t="s">
        <v>68</v>
      </c>
      <c r="F62" s="1696" t="s">
        <v>66</v>
      </c>
      <c r="G62" s="54"/>
      <c r="H62" s="767" t="s">
        <v>18</v>
      </c>
      <c r="I62" s="408"/>
      <c r="J62" s="870"/>
    </row>
    <row s="1637" customFormat="1" customHeight="1" ht="6">
      <c r="A63" s="779"/>
      <c r="B63" s="211"/>
      <c r="C63" s="212"/>
      <c r="D63" s="218"/>
      <c r="E63" s="216"/>
      <c r="F63" s="219"/>
      <c r="G63" s="58"/>
      <c r="H63" s="406"/>
      <c r="I63" s="408"/>
      <c r="J63" s="868"/>
    </row>
    <row customHeight="1" ht="19.5">
      <c r="A64" s="781"/>
      <c r="B64" s="79"/>
      <c r="D64" s="63"/>
      <c r="E64" s="388" t="s">
        <v>69</v>
      </c>
      <c r="F64" s="195" t="s">
        <v>70</v>
      </c>
      <c r="G64" s="58"/>
    </row>
    <row customHeight="1" ht="19.5">
      <c r="A65" s="781"/>
      <c r="B65" s="79"/>
      <c r="D65" s="63"/>
      <c r="E65" s="388" t="s">
        <v>71</v>
      </c>
      <c r="F65" s="195" t="s">
        <v>72</v>
      </c>
      <c r="G65" s="58"/>
    </row>
    <row customHeight="1" ht="35.25">
      <c r="D66" s="56"/>
      <c r="E66" s="390" t="s">
        <v>73</v>
      </c>
      <c r="F66" s="1049"/>
      <c r="G66" s="54"/>
    </row>
    <row customHeight="1" ht="19.5">
      <c r="A67" s="781"/>
      <c r="D67" s="407"/>
      <c r="E67" s="388" t="s">
        <v>74</v>
      </c>
      <c r="F67" s="250" t="s">
        <v>75</v>
      </c>
      <c r="G67" s="58"/>
    </row>
    <row customHeight="1" ht="19.5">
      <c r="A68" s="781"/>
      <c r="B68" s="79"/>
      <c r="D68" s="63"/>
      <c r="E68" s="388" t="s">
        <v>76</v>
      </c>
      <c r="F68" s="250" t="s">
        <v>77</v>
      </c>
      <c r="G68" s="58"/>
    </row>
    <row customHeight="1" ht="19.5">
      <c r="A69" s="781"/>
      <c r="B69" s="79"/>
      <c r="D69" s="63"/>
      <c r="E69" s="388" t="s">
        <v>78</v>
      </c>
      <c r="F69" s="250" t="s">
        <v>79</v>
      </c>
      <c r="G69" s="58"/>
    </row>
    <row customHeight="1" ht="19.5">
      <c r="D70" s="407"/>
      <c r="E70" s="388" t="s">
        <v>80</v>
      </c>
      <c r="F70" s="250" t="s">
        <v>81</v>
      </c>
      <c r="G70" s="54"/>
    </row>
    <row customHeight="1" ht="20.25">
      <c r="A71" s="781"/>
      <c r="D71" s="54"/>
      <c r="F71" s="113"/>
      <c r="G71" s="58"/>
    </row>
    <row customHeight="1" ht="19.5">
      <c r="A72" s="781"/>
      <c r="B72" s="79"/>
      <c r="D72" s="63"/>
      <c r="E72" s="62"/>
      <c r="F72" s="114"/>
      <c r="G72" s="58"/>
    </row>
    <row customHeight="1" ht="19.5">
      <c r="A73" s="781"/>
      <c r="B73" s="79"/>
      <c r="D73" s="63"/>
      <c r="E73" s="62"/>
      <c r="F73" s="114"/>
      <c r="G73" s="58"/>
    </row>
    <row customHeight="1" ht="19.5">
      <c r="A74" s="781"/>
      <c r="B74" s="79"/>
      <c r="D74" s="63"/>
      <c r="E74" s="67"/>
      <c r="F74" s="114"/>
      <c r="G74" s="58"/>
    </row>
    <row customHeight="1" ht="19.5">
      <c r="A75" s="781"/>
      <c r="B75" s="79"/>
      <c r="D75" s="63"/>
      <c r="E75" s="62"/>
      <c r="F75" s="114"/>
      <c r="G75" s="58"/>
    </row>
    <row r="78" customHeight="1" ht="11.25">
      <c r="E78" s="387"/>
      <c r="F78" s="387"/>
      <c r="G78" s="387"/>
      <c r="H78" s="387"/>
      <c r="I78" s="387"/>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E86FC639-C1E6-9CDD-7CB8-C9057206370D}"/>
    <hyperlink ref="H17" location="Титульный!H9" display="Как заполнить?" tooltip="Помощь по работе с полями отчётной формы" xr:uid="{ACF74567-D707-597B-A32A-286586F61809}"/>
    <hyperlink ref="F24" r:id="rId4" xr:uid="{86324921-00F4-6E77-2B2C-18FD4731C562}"/>
    <hyperlink ref="H39" location="Титульный!H9" display="Как заполнить?" tooltip="Помощь по работе с полями отчётной формы" xr:uid="{1FE3F99D-C51A-5B7B-5821-472CEFA1608A}"/>
    <hyperlink ref="H62" location="Титульный!H9" display="Как заполнить?" tooltip="Помощь по работе с полями отчётной формы" xr:uid="{95329A0C-736D-1428-D1EE-F3BC40997281}"/>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8C5818-2FA9-E199-C784-D69B63395DD5}" mc:Ignorable="x14ac xr xr2 xr3">
  <sheetPr>
    <tabColor rgb="FFCCCCFF"/>
    <pageSetUpPr fitToPage="1"/>
  </sheetPr>
  <dimension ref="A1:AB28"/>
  <sheetViews>
    <sheetView topLeftCell="C2" showGridLines="0" zoomScale="90" workbookViewId="0">
      <selection activeCell="G13" sqref="G13"/>
    </sheetView>
  </sheetViews>
  <sheetFormatPr defaultColWidth="9.140625" customHeight="1" defaultRowHeight="14.25"/>
  <cols>
    <col min="1" max="1" style="1660" width="8.00390625" hidden="1" customWidth="1"/>
    <col min="2" max="2" style="1383" width="6.00390625" hidden="1" customWidth="1"/>
    <col min="3" max="3" style="1660" width="3.7109375" customWidth="1"/>
    <col min="4" max="4" style="1866" width="3.7109375" customWidth="1"/>
    <col min="5" max="5" style="1660" width="6.28125" customWidth="1"/>
    <col min="6" max="6" style="1660" width="2.7109375" hidden="1" customWidth="1"/>
    <col min="7" max="7" style="1660" width="46.7109375" customWidth="1"/>
    <col min="8" max="8" style="1660" width="43.140625" customWidth="1"/>
    <col min="9" max="9" style="1660" width="14.8515625" customWidth="1"/>
    <col min="10" max="10" style="1649" width="3.7109375" customWidth="1"/>
    <col min="11" max="13" style="1649" width="9.140625" hidden="1"/>
    <col min="14" max="14" style="1649" width="25.7109375" hidden="1" customWidth="1"/>
    <col min="15" max="15" style="1649" width="14.421875" hidden="1" customWidth="1"/>
    <col min="16" max="19" style="204" width="9.140625" hidden="1"/>
    <col min="20" max="27" style="1660" width="9.140625" hidden="1"/>
    <col min="28" max="28" style="1660" width="9.140625"/>
  </cols>
  <sheetData>
    <row s="1667" customFormat="1" customHeight="1" ht="5.25" hidden="1">
      <c r="A1" s="492"/>
      <c r="B1" s="507"/>
      <c r="C1" s="507"/>
      <c r="D1" s="200"/>
      <c r="F1" s="507"/>
      <c r="G1" s="226" t="s">
        <v>82</v>
      </c>
      <c r="H1" s="490" t="s">
        <v>83</v>
      </c>
      <c r="I1" s="206" t="s">
        <v>84</v>
      </c>
      <c r="J1" s="226" t="s">
        <v>82</v>
      </c>
      <c r="K1" s="226"/>
      <c r="L1" s="226"/>
      <c r="M1" s="226"/>
      <c r="N1" s="227"/>
      <c r="O1" s="226"/>
      <c r="P1" s="226"/>
      <c r="Q1" s="226"/>
      <c r="R1" s="226"/>
      <c r="S1" s="226"/>
      <c r="T1" s="206"/>
      <c r="U1" s="206"/>
      <c r="V1" s="206"/>
      <c r="W1" s="206"/>
      <c r="X1" s="206"/>
      <c r="Y1" s="206"/>
      <c r="Z1" s="206"/>
      <c r="AA1" s="206"/>
      <c r="AB1" s="206"/>
    </row>
    <row s="1429" customFormat="1" customHeight="1" ht="11.25">
      <c r="A2" s="825"/>
      <c r="B2" s="207"/>
      <c r="C2" s="207"/>
      <c r="D2" s="208"/>
      <c r="E2" s="207"/>
      <c r="F2" s="207"/>
      <c r="G2" s="207"/>
      <c r="H2" s="207"/>
      <c r="I2" s="207"/>
      <c r="J2" s="226"/>
      <c r="K2" s="226"/>
      <c r="L2" s="226"/>
      <c r="M2" s="226"/>
      <c r="N2" s="227"/>
      <c r="O2" s="226"/>
      <c r="P2" s="209"/>
      <c r="Q2" s="209"/>
      <c r="R2" s="209"/>
      <c r="S2" s="209"/>
      <c r="T2" s="208"/>
      <c r="U2" s="208"/>
      <c r="V2" s="208"/>
      <c r="W2" s="208"/>
      <c r="X2" s="208"/>
      <c r="Y2" s="208"/>
      <c r="Z2" s="208"/>
      <c r="AA2" s="208"/>
      <c r="AB2" s="208"/>
    </row>
    <row s="1844" customFormat="1" customHeight="1" ht="3">
      <c r="A3" s="753"/>
      <c r="B3" s="414"/>
      <c r="C3" s="753"/>
      <c r="D3" s="144"/>
      <c r="E3" s="83"/>
      <c r="F3" s="505"/>
      <c r="G3" s="83"/>
      <c r="H3" s="83"/>
      <c r="I3" s="146"/>
      <c r="J3" s="226"/>
      <c r="K3" s="135"/>
      <c r="L3" s="135"/>
      <c r="M3" s="135"/>
      <c r="N3" s="205"/>
      <c r="O3" s="135"/>
      <c r="P3" s="204"/>
      <c r="Q3" s="204"/>
      <c r="R3" s="204"/>
      <c r="S3" s="204"/>
    </row>
    <row s="1844" customFormat="1" customHeight="1" ht="25.5">
      <c r="A4" s="753"/>
      <c r="B4" s="414"/>
      <c r="C4" s="753"/>
      <c r="D4" s="144"/>
      <c r="E4" s="1936" t="str">
        <f>NameTemplatesInListMO</f>
        <v>Перечень муниципальных районов и муниципальных образований (территорий действия тарифа)</v>
      </c>
      <c r="F4" s="1936"/>
      <c r="G4" s="1936"/>
      <c r="H4" s="1936"/>
      <c r="I4" s="1936"/>
      <c r="J4" s="226"/>
      <c r="K4" s="135"/>
      <c r="L4" s="135"/>
      <c r="M4" s="135"/>
      <c r="N4" s="205"/>
      <c r="O4" s="135"/>
      <c r="P4" s="204"/>
      <c r="Q4" s="204"/>
      <c r="R4" s="204"/>
      <c r="S4" s="204"/>
    </row>
    <row s="1844" customFormat="1" customHeight="1" ht="3">
      <c r="A5" s="753"/>
      <c r="B5" s="414"/>
      <c r="C5" s="753"/>
      <c r="D5" s="144"/>
      <c r="E5" s="83"/>
      <c r="F5" s="505"/>
      <c r="G5" s="147"/>
      <c r="H5" s="147"/>
      <c r="I5" s="148"/>
      <c r="J5" s="135"/>
      <c r="K5" s="135"/>
      <c r="L5" s="135"/>
      <c r="M5" s="135"/>
      <c r="N5" s="205"/>
      <c r="O5" s="135"/>
      <c r="P5" s="204"/>
      <c r="Q5" s="204"/>
      <c r="R5" s="204"/>
      <c r="S5" s="204"/>
    </row>
    <row s="1844" customFormat="1" customHeight="1" ht="20.25" hidden="1">
      <c r="A6" s="831"/>
      <c r="B6" s="827"/>
      <c r="C6" s="149"/>
      <c r="D6" s="144"/>
      <c r="E6" s="773"/>
      <c r="F6" s="773"/>
      <c r="G6" s="147"/>
      <c r="H6" s="150"/>
      <c r="I6" s="150"/>
      <c r="J6" s="135"/>
      <c r="K6" s="135"/>
      <c r="L6" s="135"/>
      <c r="M6" s="135"/>
      <c r="N6" s="205"/>
      <c r="O6" s="135"/>
      <c r="P6" s="204"/>
      <c r="Q6" s="204"/>
      <c r="R6" s="204"/>
      <c r="S6" s="204"/>
    </row>
    <row customHeight="1" ht="25.5" hidden="1"/>
    <row s="1844" customFormat="1" customHeight="1" ht="14.25">
      <c r="A8" s="753"/>
      <c r="B8" s="414"/>
      <c r="C8" s="753"/>
      <c r="D8" s="144"/>
      <c r="E8" s="1937" t="s">
        <v>85</v>
      </c>
      <c r="F8" s="1938"/>
      <c r="G8" s="1939"/>
      <c r="H8" s="1940" t="s">
        <v>86</v>
      </c>
      <c r="I8" s="1940"/>
      <c r="J8" s="135"/>
      <c r="K8" s="135"/>
      <c r="L8" s="135"/>
      <c r="M8" s="135"/>
      <c r="N8" s="205"/>
      <c r="O8" s="135"/>
      <c r="P8" s="204"/>
      <c r="Q8" s="204"/>
      <c r="R8" s="204"/>
      <c r="S8" s="204"/>
    </row>
    <row s="1844" customFormat="1" customHeight="1" ht="20.25">
      <c r="A9" s="753"/>
      <c r="B9" s="414"/>
      <c r="C9" s="753"/>
      <c r="D9" s="144"/>
      <c r="E9" s="771" t="s">
        <v>87</v>
      </c>
      <c r="F9" s="771"/>
      <c r="G9" s="152" t="s">
        <v>88</v>
      </c>
      <c r="H9" s="152" t="s">
        <v>88</v>
      </c>
      <c r="I9" s="152" t="s">
        <v>84</v>
      </c>
      <c r="J9" s="135"/>
      <c r="K9" s="135"/>
      <c r="L9" s="135"/>
      <c r="M9" s="135"/>
      <c r="N9" s="205"/>
      <c r="O9" s="135"/>
      <c r="P9" s="204"/>
      <c r="Q9" s="204"/>
      <c r="R9" s="204"/>
      <c r="S9" s="204"/>
    </row>
    <row customHeight="1" ht="11.25">
      <c r="D10" s="156"/>
      <c r="E10" s="772" t="s">
        <v>89</v>
      </c>
      <c r="F10" s="772"/>
      <c r="G10" s="202" t="s">
        <v>90</v>
      </c>
      <c r="H10" s="202" t="s">
        <v>91</v>
      </c>
      <c r="I10" s="202" t="s">
        <v>92</v>
      </c>
      <c r="J10" s="166"/>
      <c r="K10" s="166"/>
      <c r="L10" s="166"/>
      <c r="M10" s="166"/>
      <c r="N10" s="151"/>
      <c r="O10" s="166"/>
      <c r="P10" s="203"/>
      <c r="Q10" s="203"/>
      <c r="R10" s="203"/>
      <c r="S10" s="203"/>
    </row>
    <row s="1844" customFormat="1" customHeight="1" ht="0.75">
      <c r="A11" s="753"/>
      <c r="B11" s="414"/>
      <c r="C11" s="753"/>
      <c r="D11" s="144"/>
      <c r="E11" s="784"/>
      <c r="F11" s="784"/>
      <c r="G11" s="153"/>
      <c r="H11" s="153"/>
      <c r="I11" s="155"/>
      <c r="J11" s="228" t="s">
        <v>93</v>
      </c>
      <c r="K11" s="135"/>
      <c r="L11" s="135"/>
      <c r="M11" s="135" t="s">
        <v>94</v>
      </c>
      <c r="N11" s="205" t="s">
        <v>95</v>
      </c>
      <c r="O11" s="135" t="s">
        <v>96</v>
      </c>
      <c r="P11" s="204"/>
      <c r="Q11" s="204"/>
      <c r="R11" s="204"/>
      <c r="S11" s="204"/>
    </row>
    <row s="1844" customFormat="1" customHeight="1" ht="14.25">
      <c r="A12" s="1935">
        <v>1</v>
      </c>
      <c r="B12" s="414"/>
      <c r="C12" s="753"/>
      <c r="D12" s="776"/>
      <c r="E12" s="198">
        <f>A12</f>
        <v>1</v>
      </c>
      <c r="F12" s="796" t="s">
        <v>97</v>
      </c>
      <c r="G12" s="536" t="str">
        <f>"Территория "&amp;E12</f>
        <v>Территория 1</v>
      </c>
      <c r="H12" s="786"/>
      <c r="I12" s="786"/>
      <c r="J12" s="783"/>
      <c r="K12" s="496"/>
      <c r="L12" s="496"/>
      <c r="M12" s="496"/>
      <c r="N12" s="205"/>
      <c r="O12" s="496"/>
      <c r="P12" s="204"/>
      <c r="Q12" s="204"/>
      <c r="R12" s="204"/>
      <c r="S12" s="204"/>
    </row>
    <row s="2437" customFormat="1" customHeight="1" ht="15">
      <c r="A13" s="1935"/>
      <c r="B13" s="414">
        <v>1</v>
      </c>
      <c r="C13" s="414"/>
      <c r="D13" s="794"/>
      <c r="E13" s="774" t="str">
        <f>A12&amp;"."&amp;B13</f>
        <v>1.1</v>
      </c>
      <c r="F13" s="789" t="s">
        <v>98</v>
      </c>
      <c r="G13" s="787" t="s">
        <v>99</v>
      </c>
      <c r="H13" s="787" t="s">
        <v>99</v>
      </c>
      <c r="I13" s="785" t="s">
        <v>100</v>
      </c>
      <c r="J13" s="496">
        <f>MERGEVALUE(G13)</f>
      </c>
      <c r="K13" s="507"/>
      <c r="L13" s="507"/>
      <c r="M13" s="496" t="str">
        <f t="array" ref="M13:M13">IF(ISERROR(MATCH(MID(N13,1,250),MID(note_ter,1,250),0)),"n","y")</f>
        <v>n</v>
      </c>
      <c r="N13" s="507"/>
      <c r="O13" s="496" t="str">
        <f>H13&amp;"("&amp;I13&amp;")"</f>
        <v>город Санкт-Петербург(40000000)</v>
      </c>
      <c r="P13" s="414"/>
      <c r="Q13" s="414"/>
      <c r="R13" s="417"/>
      <c r="S13" s="414"/>
      <c r="T13" s="414"/>
      <c r="U13" s="414"/>
      <c r="V13" s="419"/>
      <c r="W13" s="419"/>
      <c r="X13" s="416"/>
      <c r="Y13" s="416"/>
      <c r="Z13" s="416"/>
      <c r="AA13" s="416"/>
      <c r="AB13" s="416"/>
    </row>
    <row s="2437" customFormat="1" customHeight="1" ht="15">
      <c r="A14" s="1935"/>
      <c r="B14" s="414"/>
      <c r="C14" s="409"/>
      <c r="D14" s="795"/>
      <c r="E14" s="418"/>
      <c r="F14" s="157"/>
      <c r="G14" s="412" t="s">
        <v>101</v>
      </c>
      <c r="H14" s="167"/>
      <c r="I14" s="420"/>
      <c r="J14" s="507"/>
      <c r="K14" s="507"/>
      <c r="L14" s="507"/>
      <c r="M14" s="507"/>
      <c r="N14" s="496"/>
      <c r="O14" s="507"/>
      <c r="P14" s="414"/>
      <c r="Q14" s="414"/>
      <c r="R14" s="417"/>
      <c r="S14" s="414"/>
      <c r="T14" s="414"/>
      <c r="U14" s="414"/>
      <c r="V14" s="419"/>
      <c r="W14" s="419"/>
      <c r="X14" s="416"/>
      <c r="Y14" s="416"/>
      <c r="Z14" s="416"/>
      <c r="AA14" s="416"/>
      <c r="AB14" s="416"/>
    </row>
    <row s="1844" customFormat="1" customHeight="1" ht="14.25">
      <c r="A15" s="753"/>
      <c r="B15" s="414"/>
      <c r="C15" s="753"/>
      <c r="D15" s="776"/>
      <c r="E15" s="788"/>
      <c r="F15" s="158"/>
      <c r="G15" s="413" t="s">
        <v>102</v>
      </c>
      <c r="H15" s="158"/>
      <c r="I15" s="159"/>
      <c r="J15" s="228"/>
      <c r="K15" s="135"/>
      <c r="L15" s="135"/>
      <c r="M15" s="135"/>
      <c r="N15" s="205" t="s">
        <v>103</v>
      </c>
      <c r="O15" s="135"/>
      <c r="P15" s="204"/>
      <c r="Q15" s="204"/>
      <c r="R15" s="204"/>
      <c r="S15" s="204"/>
    </row>
    <row s="1844" customFormat="1" customHeight="1" ht="21">
      <c r="A16" s="753"/>
      <c r="B16" s="414"/>
      <c r="C16" s="753"/>
      <c r="D16" s="145"/>
      <c r="E16" s="160"/>
      <c r="F16" s="160"/>
      <c r="G16" s="160"/>
      <c r="H16" s="160"/>
      <c r="I16" s="160"/>
      <c r="J16" s="135"/>
      <c r="K16" s="135"/>
      <c r="L16" s="135"/>
      <c r="M16" s="135"/>
      <c r="N16" s="205"/>
      <c r="O16" s="135"/>
      <c r="P16" s="204"/>
      <c r="Q16" s="204"/>
      <c r="R16" s="204"/>
      <c r="S16" s="204"/>
    </row>
    <row s="1844" customFormat="1" customHeight="1" ht="14.25">
      <c r="A17" s="753"/>
      <c r="B17" s="414"/>
      <c r="C17" s="753"/>
      <c r="D17" s="145"/>
      <c r="E17" s="64"/>
      <c r="F17" s="753"/>
      <c r="G17" s="64"/>
      <c r="H17" s="64"/>
      <c r="I17" s="64"/>
      <c r="J17" s="135"/>
      <c r="K17" s="135"/>
      <c r="L17" s="135"/>
      <c r="M17" s="135"/>
      <c r="N17" s="205"/>
      <c r="O17" s="135"/>
      <c r="P17" s="204"/>
      <c r="Q17" s="204"/>
      <c r="R17" s="204"/>
      <c r="S17" s="204"/>
    </row>
    <row s="1844" customFormat="1" customHeight="1" ht="0.75">
      <c r="A18" s="753"/>
      <c r="B18" s="414"/>
      <c r="C18" s="753"/>
      <c r="D18" s="145"/>
      <c r="E18" s="64"/>
      <c r="F18" s="753"/>
      <c r="G18" s="64"/>
      <c r="H18" s="64"/>
      <c r="I18" s="64"/>
      <c r="J18" s="135"/>
      <c r="K18" s="135"/>
      <c r="L18" s="135"/>
      <c r="M18" s="135"/>
      <c r="N18" s="205"/>
      <c r="O18" s="135"/>
      <c r="P18" s="204"/>
      <c r="Q18" s="204"/>
      <c r="R18" s="204"/>
      <c r="S18" s="204"/>
    </row>
    <row s="1059" customFormat="1" customHeight="1" ht="10.5">
      <c r="B19" s="828"/>
      <c r="D19" s="162"/>
      <c r="J19" s="135"/>
      <c r="K19" s="135"/>
      <c r="L19" s="135"/>
      <c r="M19" s="135"/>
      <c r="N19" s="205"/>
      <c r="O19" s="135"/>
      <c r="P19" s="204"/>
      <c r="Q19" s="204"/>
      <c r="R19" s="204"/>
      <c r="S19" s="204"/>
    </row>
    <row s="1059" customFormat="1" customHeight="1" ht="10.5">
      <c r="B20" s="828"/>
      <c r="D20" s="162"/>
      <c r="J20" s="135"/>
      <c r="K20" s="135"/>
      <c r="L20" s="135"/>
      <c r="M20" s="135"/>
      <c r="N20" s="205"/>
      <c r="O20" s="135"/>
      <c r="P20" s="204"/>
      <c r="Q20" s="204"/>
      <c r="R20" s="204"/>
      <c r="S20" s="204"/>
    </row>
    <row r="24" customHeight="1" ht="14.25">
      <c r="H24" s="0"/>
    </row>
    <row r="28" customHeight="1" ht="14.25">
      <c r="J28" s="64"/>
      <c r="K28" s="64"/>
      <c r="L28" s="64"/>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25CD43-FAD1-094C-3F75-3BC746E81DAB}" mc:Ignorable="x14ac xr xr2 xr3">
  <sheetPr>
    <tabColor rgb="FFCCCCFF"/>
  </sheetPr>
  <dimension ref="A1:AL16"/>
  <sheetViews>
    <sheetView topLeftCell="C3" showGridLines="0" zoomScale="90" workbookViewId="0">
      <selection activeCell="A1" sqref="A1"/>
    </sheetView>
  </sheetViews>
  <sheetFormatPr defaultColWidth="9.140625" customHeight="1" defaultRowHeight="11.25"/>
  <cols>
    <col min="1" max="1" style="1877" width="6.421875" hidden="1" customWidth="1"/>
    <col min="2" max="2" style="1877" width="2.00390625" hidden="1" customWidth="1"/>
    <col min="3" max="3" style="1877" width="3.7109375" customWidth="1"/>
    <col min="4" max="4" style="1877" width="4.28125" customWidth="1"/>
    <col min="5" max="5" style="1877" width="45.00390625" customWidth="1"/>
    <col min="6" max="6" style="1877" width="6.421875" customWidth="1"/>
    <col min="7" max="7" style="1877" width="4.421875" customWidth="1"/>
    <col min="8" max="8" style="1877" width="5.57421875" customWidth="1"/>
    <col min="9" max="9" style="1877" width="52.8515625" customWidth="1"/>
    <col min="10" max="10" style="1877" width="7.00390625" customWidth="1"/>
    <col min="11" max="11" style="1877" width="3.7109375" customWidth="1"/>
    <col min="12" max="12" style="1877" width="6.28125" customWidth="1"/>
    <col min="13" max="13" style="1877" width="56.28125" customWidth="1"/>
    <col min="14" max="14" style="1387" width="9.140625"/>
    <col min="15" max="20" style="1649" width="9.140625" hidden="1"/>
    <col min="21" max="24" style="1282" width="9.140625" hidden="1"/>
    <col min="25" max="37" style="1387" width="9.140625" hidden="1"/>
    <col min="38" max="38" style="1387" width="9.140625"/>
  </cols>
  <sheetData>
    <row customHeight="1" ht="11.25" hidden="1"/>
    <row customHeight="1" ht="11.25" hidden="1"/>
    <row r="4" customHeight="1" ht="34.5">
      <c r="A4" s="581"/>
      <c r="B4" s="581"/>
      <c r="D4" s="1945" t="str">
        <f>Титульный!E5</f>
        <v>Показатели, подлежащие раскрытию в сфере теплоснабжения (цены и тарифы)</v>
      </c>
      <c r="E4" s="1946"/>
      <c r="F4" s="1946"/>
      <c r="G4" s="1946"/>
      <c r="H4" s="1946"/>
      <c r="I4" s="1947"/>
      <c r="J4" s="580"/>
      <c r="K4" s="580"/>
      <c r="L4" s="580"/>
      <c r="M4" s="580"/>
    </row>
    <row s="585" customFormat="1" customHeight="1" ht="15">
      <c r="A5" s="581"/>
      <c r="B5" s="581"/>
      <c r="C5" s="581"/>
      <c r="D5" s="1948" t="str">
        <f>IF(org=0,"Не определено",org)</f>
        <v>ООО "ПРОМ ИМПУЛЬС"</v>
      </c>
      <c r="E5" s="1949"/>
      <c r="F5" s="1949"/>
      <c r="G5" s="1949"/>
      <c r="H5" s="1949"/>
      <c r="I5" s="1950"/>
      <c r="J5" s="582"/>
      <c r="K5" s="582"/>
      <c r="L5" s="582"/>
      <c r="M5" s="582"/>
      <c r="N5" s="582"/>
      <c r="O5" s="864"/>
      <c r="P5" s="864"/>
      <c r="Q5" s="864"/>
      <c r="R5" s="864"/>
      <c r="S5" s="864"/>
      <c r="T5" s="864"/>
      <c r="U5" s="1277"/>
      <c r="V5" s="1277"/>
      <c r="W5" s="1277"/>
      <c r="X5" s="1277"/>
      <c r="Y5" s="582"/>
      <c r="Z5" s="582"/>
      <c r="AA5" s="582"/>
      <c r="AB5" s="582"/>
      <c r="AC5" s="582"/>
      <c r="AD5" s="582"/>
      <c r="AE5" s="582"/>
      <c r="AF5" s="582"/>
      <c r="AG5" s="582"/>
      <c r="AH5" s="582"/>
      <c r="AI5" s="582"/>
      <c r="AJ5" s="582"/>
      <c r="AK5" s="582"/>
      <c r="AL5" s="582"/>
    </row>
    <row s="585" customFormat="1" customHeight="1" ht="6">
      <c r="A6" s="1951"/>
      <c r="B6" s="1951"/>
      <c r="C6" s="1951"/>
      <c r="D6" s="1951"/>
      <c r="E6" s="1951"/>
      <c r="F6" s="1951"/>
      <c r="G6" s="584"/>
      <c r="H6" s="584"/>
      <c r="I6" s="584"/>
      <c r="J6" s="584"/>
      <c r="K6" s="584"/>
      <c r="N6" s="586"/>
      <c r="O6" s="1431"/>
      <c r="P6" s="1431"/>
      <c r="Q6" s="1431"/>
      <c r="R6" s="1431"/>
      <c r="S6" s="1431"/>
      <c r="T6" s="1431"/>
      <c r="U6" s="1280"/>
      <c r="V6" s="1280"/>
      <c r="W6" s="1280"/>
      <c r="X6" s="1280"/>
      <c r="Y6" s="586"/>
      <c r="Z6" s="586"/>
      <c r="AA6" s="586"/>
      <c r="AB6" s="586"/>
      <c r="AC6" s="586"/>
      <c r="AD6" s="586"/>
      <c r="AE6" s="586"/>
      <c r="AF6" s="586"/>
      <c r="AG6" s="586"/>
      <c r="AH6" s="586"/>
      <c r="AI6" s="586"/>
      <c r="AJ6" s="586"/>
      <c r="AK6" s="586"/>
      <c r="AL6" s="586"/>
    </row>
    <row customHeight="1" ht="45.75" hidden="1">
      <c r="E7" s="195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57"/>
      <c r="G7" s="1957"/>
      <c r="H7" s="1957"/>
      <c r="I7" s="1957"/>
      <c r="J7" s="1957"/>
      <c r="K7" s="1957"/>
      <c r="L7" s="1957"/>
      <c r="M7" s="1957"/>
    </row>
    <row s="585" customFormat="1" customHeight="1" ht="6">
      <c r="A8" s="587"/>
      <c r="B8" s="587"/>
      <c r="C8" s="587"/>
      <c r="D8" s="587"/>
      <c r="E8" s="587"/>
      <c r="F8" s="587"/>
      <c r="G8" s="587"/>
      <c r="H8" s="587"/>
      <c r="I8" s="587"/>
      <c r="J8" s="587"/>
      <c r="K8" s="587"/>
      <c r="L8" s="587"/>
      <c r="M8" s="585"/>
      <c r="N8" s="582"/>
      <c r="O8" s="864"/>
      <c r="P8" s="864"/>
      <c r="Q8" s="864"/>
      <c r="R8" s="864"/>
      <c r="S8" s="864"/>
      <c r="T8" s="864"/>
      <c r="U8" s="1277"/>
      <c r="V8" s="1277"/>
      <c r="W8" s="1277"/>
      <c r="X8" s="1277"/>
      <c r="Y8" s="582"/>
      <c r="Z8" s="582"/>
      <c r="AA8" s="582"/>
      <c r="AB8" s="582"/>
      <c r="AC8" s="582"/>
      <c r="AD8" s="582"/>
      <c r="AE8" s="582"/>
      <c r="AF8" s="582"/>
      <c r="AG8" s="582"/>
      <c r="AH8" s="582"/>
      <c r="AI8" s="582"/>
      <c r="AJ8" s="582"/>
      <c r="AK8" s="582"/>
      <c r="AL8" s="582"/>
    </row>
    <row customHeight="1" ht="18">
      <c r="A9" s="1952"/>
      <c r="B9" s="310"/>
      <c r="C9" s="310"/>
      <c r="D9" s="1953" t="s">
        <v>104</v>
      </c>
      <c r="E9" s="1953"/>
      <c r="F9" s="1954" t="s">
        <v>105</v>
      </c>
      <c r="G9" s="1955"/>
      <c r="H9" s="1955"/>
      <c r="I9" s="1955"/>
      <c r="J9" s="1958" t="s">
        <v>106</v>
      </c>
      <c r="K9" s="1958"/>
      <c r="L9" s="1958"/>
      <c r="M9" s="1958"/>
    </row>
    <row customHeight="1" ht="22.5">
      <c r="A10" s="1952"/>
      <c r="B10" s="588"/>
      <c r="C10" s="521"/>
      <c r="D10" s="519" t="s">
        <v>87</v>
      </c>
      <c r="E10" s="519" t="s">
        <v>88</v>
      </c>
      <c r="F10" s="519" t="s">
        <v>107</v>
      </c>
      <c r="G10" s="1959" t="s">
        <v>87</v>
      </c>
      <c r="H10" s="1960"/>
      <c r="I10" s="519" t="s">
        <v>88</v>
      </c>
      <c r="J10" s="519" t="s">
        <v>107</v>
      </c>
      <c r="K10" s="1959" t="s">
        <v>87</v>
      </c>
      <c r="L10" s="1960"/>
      <c r="M10" s="519" t="s">
        <v>88</v>
      </c>
      <c r="N10" s="1652"/>
    </row>
    <row s="1877" customFormat="1" customHeight="1" ht="11.25" hidden="1">
      <c r="A11" s="589"/>
      <c r="B11" s="589"/>
      <c r="C11" s="589"/>
      <c r="D11" s="590" t="s">
        <v>108</v>
      </c>
      <c r="E11" s="590" t="s">
        <v>109</v>
      </c>
      <c r="F11" s="590" t="s">
        <v>89</v>
      </c>
      <c r="G11" s="1941" t="s">
        <v>90</v>
      </c>
      <c r="H11" s="1942"/>
      <c r="I11" s="590" t="s">
        <v>110</v>
      </c>
      <c r="J11" s="590" t="s">
        <v>91</v>
      </c>
      <c r="K11" s="1943" t="s">
        <v>92</v>
      </c>
      <c r="L11" s="1944"/>
      <c r="M11" s="590" t="s">
        <v>111</v>
      </c>
      <c r="N11" s="1651"/>
      <c r="O11" s="1430"/>
      <c r="P11" s="1432"/>
      <c r="Q11" s="1432"/>
      <c r="R11" s="1432"/>
      <c r="S11" s="1432"/>
      <c r="T11" s="1432"/>
      <c r="U11" s="1281"/>
      <c r="V11" s="1281"/>
      <c r="W11" s="1281"/>
      <c r="X11" s="1281"/>
      <c r="Y11" s="591"/>
      <c r="Z11" s="591"/>
      <c r="AA11" s="591"/>
      <c r="AB11" s="591"/>
      <c r="AC11" s="591"/>
      <c r="AD11" s="591"/>
      <c r="AE11" s="591"/>
      <c r="AF11" s="591"/>
      <c r="AG11" s="591"/>
      <c r="AH11" s="591"/>
      <c r="AI11" s="591"/>
      <c r="AJ11" s="591"/>
      <c r="AK11" s="591"/>
      <c r="AL11" s="591"/>
    </row>
    <row customHeight="1" ht="0.75">
      <c r="A12" s="593"/>
      <c r="B12" s="594"/>
      <c r="C12" s="594"/>
      <c r="D12" s="595"/>
      <c r="E12" s="359"/>
      <c r="F12" s="596"/>
      <c r="G12" s="1054"/>
      <c r="H12" s="1054"/>
      <c r="I12" s="596"/>
      <c r="J12" s="596"/>
      <c r="K12" s="154"/>
      <c r="L12" s="359"/>
      <c r="M12" s="597"/>
      <c r="N12" s="1652"/>
      <c r="O12" s="1430" t="s">
        <v>112</v>
      </c>
      <c r="P12" s="1430" t="s">
        <v>113</v>
      </c>
      <c r="Q12" s="1430" t="s">
        <v>114</v>
      </c>
      <c r="R12" s="1430" t="s">
        <v>115</v>
      </c>
    </row>
    <row s="1877" customFormat="1" customHeight="1" ht="15">
      <c r="A13" s="0"/>
      <c r="B13" s="0"/>
      <c r="C13" s="522"/>
      <c r="D13" s="1964" t="s">
        <v>108</v>
      </c>
      <c r="E13" s="1965"/>
      <c r="F13" s="1968" t="s">
        <v>66</v>
      </c>
      <c r="G13" s="1969"/>
      <c r="H13" s="1970">
        <v>1</v>
      </c>
      <c r="I13" s="1961" t="str">
        <f>IF(U13="","",INDEX(TERRITORY_MR_LIST,MATCH(U13,TERRITORY_LIST_ID,0)))</f>
        <v/>
      </c>
      <c r="J13" s="1963" t="s">
        <v>56</v>
      </c>
      <c r="K13" s="598"/>
      <c r="L13" s="523" t="s">
        <v>108</v>
      </c>
      <c r="M13" s="599" t="s">
        <v>24</v>
      </c>
      <c r="N13" s="806"/>
      <c r="O13" s="1433" t="s">
        <v>116</v>
      </c>
      <c r="P13" s="1430">
        <f>$E$13</f>
        <v>0</v>
      </c>
      <c r="Q13" s="1430" t="str">
        <f>IF($F$13="нет","без дифференциации",$I$13)</f>
        <v/>
      </c>
      <c r="R13" s="1430" t="str">
        <f>IF($J$13="нет","без дифференциации",M13)</f>
        <v>без дифференциации</v>
      </c>
      <c r="S13" s="1433"/>
      <c r="T13" s="1433"/>
      <c r="U13" s="1282"/>
      <c r="V13" s="1282"/>
      <c r="W13" s="1282"/>
      <c r="X13" s="1282"/>
      <c r="Y13" s="600" t="s">
        <v>117</v>
      </c>
      <c r="Z13" s="600">
        <v>1705000</v>
      </c>
      <c r="AA13" s="600"/>
      <c r="AB13" s="600"/>
      <c r="AC13" s="600"/>
      <c r="AD13" s="600"/>
      <c r="AE13" s="600"/>
      <c r="AF13" s="600"/>
      <c r="AG13" s="600"/>
      <c r="AH13" s="600"/>
      <c r="AI13" s="600"/>
      <c r="AJ13" s="600"/>
      <c r="AK13" s="600"/>
      <c r="AL13" s="600"/>
    </row>
    <row s="1877" customFormat="1" customHeight="1" ht="15">
      <c r="A14" s="0"/>
      <c r="B14" s="0"/>
      <c r="C14" s="156"/>
      <c r="D14" s="1964"/>
      <c r="E14" s="1966"/>
      <c r="F14" s="1963"/>
      <c r="G14" s="1969"/>
      <c r="H14" s="1970"/>
      <c r="I14" s="1962"/>
      <c r="J14" s="1963"/>
      <c r="K14" s="418"/>
      <c r="L14" s="157"/>
      <c r="M14" s="603" t="s">
        <v>118</v>
      </c>
      <c r="N14" s="806"/>
      <c r="O14" s="1433"/>
      <c r="P14" s="1430"/>
      <c r="Q14" s="1430"/>
      <c r="R14" s="1430"/>
      <c r="S14" s="1433"/>
      <c r="T14" s="1433"/>
      <c r="U14" s="1282"/>
      <c r="V14" s="1282"/>
      <c r="W14" s="1282"/>
      <c r="X14" s="1282"/>
      <c r="Y14" s="600"/>
      <c r="Z14" s="600"/>
      <c r="AA14" s="600"/>
      <c r="AB14" s="600"/>
      <c r="AC14" s="600"/>
      <c r="AD14" s="600"/>
      <c r="AE14" s="600"/>
      <c r="AF14" s="600"/>
      <c r="AG14" s="600"/>
      <c r="AH14" s="600"/>
      <c r="AI14" s="600"/>
      <c r="AJ14" s="600"/>
      <c r="AK14" s="600"/>
      <c r="AL14" s="600"/>
    </row>
    <row s="1877" customFormat="1" customHeight="1" ht="15">
      <c r="A15" s="0"/>
      <c r="B15" s="0"/>
      <c r="C15" s="156"/>
      <c r="D15" s="1964"/>
      <c r="E15" s="1967"/>
      <c r="F15" s="1963"/>
      <c r="G15" s="1055"/>
      <c r="H15" s="1056"/>
      <c r="I15" s="576" t="s">
        <v>119</v>
      </c>
      <c r="J15" s="157"/>
      <c r="K15" s="157"/>
      <c r="L15" s="157"/>
      <c r="M15" s="604"/>
      <c r="N15" s="806"/>
      <c r="O15" s="1433"/>
      <c r="P15" s="1430"/>
      <c r="Q15" s="1430"/>
      <c r="R15" s="1430"/>
      <c r="S15" s="1433"/>
      <c r="T15" s="1433"/>
      <c r="U15" s="1282"/>
      <c r="V15" s="1282"/>
      <c r="W15" s="1282"/>
      <c r="X15" s="1282"/>
      <c r="Y15" s="600"/>
      <c r="Z15" s="600"/>
      <c r="AA15" s="600"/>
      <c r="AB15" s="600"/>
      <c r="AC15" s="600"/>
      <c r="AD15" s="600"/>
      <c r="AE15" s="600"/>
      <c r="AF15" s="600"/>
      <c r="AG15" s="600"/>
      <c r="AH15" s="600"/>
      <c r="AI15" s="600"/>
      <c r="AJ15" s="600"/>
      <c r="AK15" s="600"/>
      <c r="AL15" s="600"/>
    </row>
    <row customHeight="1" ht="15">
      <c r="A16" s="605"/>
      <c r="B16" s="115"/>
      <c r="C16" s="800"/>
      <c r="D16" s="418"/>
      <c r="E16" s="567" t="s">
        <v>120</v>
      </c>
      <c r="F16" s="157"/>
      <c r="G16" s="157"/>
      <c r="H16" s="157"/>
      <c r="I16" s="157"/>
      <c r="J16" s="157"/>
      <c r="K16" s="157" t="s">
        <v>24</v>
      </c>
      <c r="L16" s="157"/>
      <c r="M16" s="604"/>
      <c r="N16" s="1652"/>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924649-39A4-76B1-B6CA-99F991D5C4DB}" mc:Ignorable="x14ac xr xr2 xr3">
  <sheetPr>
    <tabColor rgb="FFCCCCFF"/>
  </sheetPr>
  <dimension ref="A1:AR138"/>
  <sheetViews>
    <sheetView topLeftCell="C21" showGridLines="0" zoomScale="90" workbookViewId="0">
      <selection activeCell="J40" sqref="J40"/>
    </sheetView>
  </sheetViews>
  <sheetFormatPr defaultColWidth="9.140625" customHeight="1" defaultRowHeight="11.25"/>
  <cols>
    <col min="1" max="2" style="1649" width="3.7109375" hidden="1" customWidth="1"/>
    <col min="3" max="3" style="1877" width="3.7109375" customWidth="1"/>
    <col min="4" max="4" style="1877" width="6.140625" customWidth="1"/>
    <col min="5" max="5" style="1877" width="43.140625" customWidth="1"/>
    <col min="6" max="6" style="1877" width="15.00390625" customWidth="1"/>
    <col min="7" max="7" style="1877" width="43.140625" customWidth="1"/>
    <col min="8" max="8" style="1877" width="3.7109375" customWidth="1"/>
    <col min="9" max="9" style="1877" width="5.421875" customWidth="1"/>
    <col min="10" max="10" style="1877" width="47.8515625" customWidth="1"/>
    <col min="11" max="12" style="1877" width="3.7109375" customWidth="1"/>
    <col min="13" max="13" style="1877" width="5.7109375" customWidth="1"/>
    <col min="14" max="14" style="1877" width="28.140625" customWidth="1"/>
    <col min="15" max="16" style="1877" width="3.7109375" customWidth="1"/>
    <col min="17" max="17" style="1877" width="5.7109375" customWidth="1"/>
    <col min="18" max="18" style="1877" width="34.421875" customWidth="1"/>
    <col min="19" max="20" style="1877" width="3.7109375" customWidth="1"/>
    <col min="21" max="21" style="1877" width="5.7109375" customWidth="1"/>
    <col min="22" max="22" style="1877" width="34.421875" customWidth="1"/>
    <col min="23" max="23" style="1877" width="30.7109375" customWidth="1"/>
    <col min="24" max="24" style="1877" width="3.7109375" customWidth="1"/>
    <col min="25" max="28" style="1282" width="9.8515625" hidden="1" customWidth="1"/>
    <col min="29" max="29" style="1282" width="27.00390625" hidden="1" customWidth="1"/>
    <col min="30" max="30" style="1282" width="10.57421875" hidden="1" customWidth="1"/>
    <col min="31" max="31" style="1282" width="10.7109375" hidden="1" customWidth="1"/>
    <col min="32" max="32" style="1282" width="10.00390625" hidden="1" customWidth="1"/>
    <col min="33" max="33" style="1282" width="12.8515625" hidden="1" customWidth="1"/>
    <col min="34" max="34" style="1282" width="10.28125" hidden="1" customWidth="1"/>
    <col min="35" max="35" style="1282" width="15.8515625" hidden="1" customWidth="1"/>
    <col min="36" max="36" style="1282" width="19.421875" hidden="1" customWidth="1"/>
    <col min="37" max="37" style="1282" width="11.00390625" hidden="1" customWidth="1"/>
    <col min="38" max="38" style="1282" width="23.57421875" hidden="1" customWidth="1"/>
    <col min="39" max="39" style="1282" width="23.8515625" hidden="1" customWidth="1"/>
    <col min="40" max="40" style="1282" width="25.28125" hidden="1" customWidth="1"/>
    <col min="41" max="41" style="1282" width="16.8515625" hidden="1" customWidth="1"/>
    <col min="42" max="42" style="1282" width="29.57421875" hidden="1" customWidth="1"/>
    <col min="43" max="43" style="1282" width="29.8515625" hidden="1" customWidth="1"/>
    <col min="44" max="44" style="1877" width="9.140625" hidden="1"/>
  </cols>
  <sheetData>
    <row customHeight="1" ht="11.25" hidden="1">
      <c r="A1" s="136"/>
    </row>
    <row customHeight="1" ht="11.25" hidden="1"/>
    <row customHeight="1" ht="11.25" hidden="1"/>
    <row customHeight="1" ht="3"/>
    <row s="585" customFormat="1" customHeight="1" ht="29.25">
      <c r="A5" s="134"/>
      <c r="B5" s="134"/>
      <c r="D5" s="200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02"/>
      <c r="F5" s="2002"/>
      <c r="G5" s="2002"/>
      <c r="H5" s="2002"/>
      <c r="I5" s="2002"/>
      <c r="J5" s="2003"/>
      <c r="K5" s="244"/>
      <c r="L5" s="122"/>
      <c r="M5" s="122"/>
      <c r="N5" s="122"/>
      <c r="O5" s="122"/>
      <c r="P5" s="122"/>
      <c r="Q5" s="122"/>
      <c r="R5" s="122"/>
      <c r="S5" s="271"/>
      <c r="T5" s="271"/>
      <c r="U5" s="271"/>
      <c r="V5" s="271"/>
      <c r="W5" s="122"/>
      <c r="Y5" s="1276"/>
      <c r="Z5" s="1276"/>
      <c r="AA5" s="1276"/>
      <c r="AB5" s="1276"/>
      <c r="AC5" s="1276"/>
      <c r="AD5" s="1276"/>
      <c r="AE5" s="1276"/>
      <c r="AF5" s="1276"/>
      <c r="AG5" s="1276"/>
      <c r="AH5" s="1276"/>
      <c r="AI5" s="1276"/>
      <c r="AJ5" s="1276"/>
      <c r="AK5" s="1276"/>
      <c r="AL5" s="1276"/>
      <c r="AM5" s="1276"/>
      <c r="AN5" s="1276"/>
      <c r="AO5" s="1276"/>
      <c r="AP5" s="1276"/>
      <c r="AQ5" s="1276"/>
    </row>
    <row s="585" customFormat="1" customHeight="1" ht="15">
      <c r="A6" s="581"/>
      <c r="B6" s="581"/>
      <c r="C6" s="581"/>
      <c r="D6" s="2007" t="str">
        <f>IF(org=0,"Не определено",org)</f>
        <v>ООО "ПРОМ ИМПУЛЬС"</v>
      </c>
      <c r="E6" s="2007"/>
      <c r="F6" s="2007"/>
      <c r="G6" s="2007"/>
      <c r="H6" s="2007"/>
      <c r="I6" s="2007"/>
      <c r="J6" s="2007"/>
      <c r="K6" s="582"/>
      <c r="L6" s="582"/>
      <c r="M6" s="582"/>
      <c r="N6" s="582"/>
      <c r="O6" s="864"/>
      <c r="P6" s="864"/>
      <c r="Q6" s="864"/>
      <c r="R6" s="864"/>
      <c r="S6" s="864"/>
      <c r="T6" s="864"/>
      <c r="U6" s="864"/>
      <c r="V6" s="864"/>
      <c r="W6" s="864"/>
      <c r="X6" s="582"/>
      <c r="Y6" s="1277"/>
      <c r="Z6" s="1277"/>
      <c r="AA6" s="1277"/>
      <c r="AB6" s="1277"/>
      <c r="AC6" s="1277"/>
      <c r="AD6" s="1277"/>
      <c r="AE6" s="1277"/>
      <c r="AF6" s="1277"/>
      <c r="AG6" s="1277"/>
      <c r="AH6" s="1277"/>
      <c r="AI6" s="1277"/>
      <c r="AJ6" s="1277"/>
      <c r="AK6" s="1277"/>
      <c r="AL6" s="1277"/>
      <c r="AM6" s="1277"/>
      <c r="AN6" s="1277"/>
      <c r="AO6" s="1277"/>
      <c r="AP6" s="1277"/>
      <c r="AQ6" s="1277"/>
    </row>
    <row s="279" customFormat="1" customHeight="1" ht="11.25">
      <c r="A7" s="190"/>
      <c r="B7" s="190"/>
      <c r="D7" s="2004"/>
      <c r="E7" s="2005"/>
      <c r="F7" s="2005"/>
      <c r="G7" s="2005"/>
      <c r="H7" s="2005"/>
      <c r="I7" s="2005"/>
      <c r="J7" s="2006"/>
      <c r="S7" s="279"/>
      <c r="T7" s="279"/>
      <c r="U7" s="279"/>
      <c r="V7" s="279"/>
      <c r="Y7" s="1278"/>
      <c r="Z7" s="1278"/>
      <c r="AA7" s="1278"/>
      <c r="AB7" s="1278"/>
      <c r="AC7" s="1278"/>
      <c r="AD7" s="1278"/>
      <c r="AE7" s="1278"/>
      <c r="AF7" s="1278"/>
      <c r="AG7" s="1278"/>
      <c r="AH7" s="1278"/>
      <c r="AI7" s="1278"/>
      <c r="AJ7" s="1278"/>
      <c r="AK7" s="1278"/>
      <c r="AL7" s="1278"/>
      <c r="AM7" s="1278"/>
      <c r="AN7" s="1278"/>
      <c r="AO7" s="1278"/>
      <c r="AP7" s="1278"/>
      <c r="AQ7" s="1278"/>
    </row>
    <row s="585" customFormat="1" customHeight="1" ht="0.75">
      <c r="A8" s="134"/>
      <c r="B8" s="134"/>
      <c r="D8" s="191"/>
      <c r="E8" s="191"/>
      <c r="F8" s="191"/>
      <c r="G8" s="191"/>
      <c r="H8" s="191"/>
      <c r="I8" s="191"/>
      <c r="J8" s="191"/>
      <c r="K8" s="191"/>
      <c r="L8" s="191"/>
      <c r="M8" s="191"/>
      <c r="N8" s="191"/>
      <c r="O8" s="191"/>
      <c r="P8" s="191"/>
      <c r="Q8" s="191"/>
      <c r="R8" s="191"/>
      <c r="S8" s="191"/>
      <c r="T8" s="191"/>
      <c r="U8" s="191"/>
      <c r="V8" s="191"/>
      <c r="W8" s="191"/>
      <c r="X8" s="112"/>
      <c r="Y8" s="1276"/>
      <c r="Z8" s="1276"/>
      <c r="AA8" s="1276"/>
      <c r="AB8" s="1276"/>
      <c r="AC8" s="1276"/>
      <c r="AD8" s="1276"/>
      <c r="AE8" s="1276"/>
      <c r="AF8" s="1276"/>
      <c r="AG8" s="1276"/>
      <c r="AH8" s="1276"/>
      <c r="AI8" s="1276"/>
      <c r="AJ8" s="1276"/>
      <c r="AK8" s="1276"/>
      <c r="AL8" s="1276"/>
      <c r="AM8" s="1276"/>
      <c r="AN8" s="1276"/>
      <c r="AO8" s="1276"/>
      <c r="AP8" s="1276"/>
      <c r="AQ8" s="1276"/>
    </row>
    <row customHeight="1" ht="27">
      <c r="D9" s="1953" t="s">
        <v>87</v>
      </c>
      <c r="E9" s="1937" t="s">
        <v>121</v>
      </c>
      <c r="F9" s="1939"/>
      <c r="G9" s="1953" t="s">
        <v>104</v>
      </c>
      <c r="H9" s="1953" t="s">
        <v>87</v>
      </c>
      <c r="I9" s="1953"/>
      <c r="J9" s="1953" t="s">
        <v>122</v>
      </c>
      <c r="K9" s="2008" t="s">
        <v>123</v>
      </c>
      <c r="L9" s="2008"/>
      <c r="M9" s="2008"/>
      <c r="N9" s="2008"/>
      <c r="O9" s="2008" t="s">
        <v>124</v>
      </c>
      <c r="P9" s="2008"/>
      <c r="Q9" s="2008"/>
      <c r="R9" s="2008"/>
      <c r="S9" s="2008" t="s">
        <v>125</v>
      </c>
      <c r="T9" s="2008"/>
      <c r="U9" s="2008"/>
      <c r="V9" s="2008"/>
      <c r="W9" s="1953" t="s">
        <v>126</v>
      </c>
    </row>
    <row customHeight="1" ht="30">
      <c r="D10" s="1953"/>
      <c r="E10" s="1301" t="s">
        <v>88</v>
      </c>
      <c r="F10" s="1301" t="s">
        <v>127</v>
      </c>
      <c r="G10" s="1953"/>
      <c r="H10" s="1953"/>
      <c r="I10" s="1953"/>
      <c r="J10" s="1953"/>
      <c r="K10" s="90" t="s">
        <v>107</v>
      </c>
      <c r="L10" s="1953" t="s">
        <v>87</v>
      </c>
      <c r="M10" s="1953"/>
      <c r="N10" s="90" t="s">
        <v>128</v>
      </c>
      <c r="O10" s="90" t="s">
        <v>107</v>
      </c>
      <c r="P10" s="1953" t="s">
        <v>87</v>
      </c>
      <c r="Q10" s="1953"/>
      <c r="R10" s="90" t="s">
        <v>128</v>
      </c>
      <c r="S10" s="264" t="s">
        <v>107</v>
      </c>
      <c r="T10" s="1953" t="s">
        <v>87</v>
      </c>
      <c r="U10" s="1953"/>
      <c r="V10" s="264" t="s">
        <v>88</v>
      </c>
      <c r="W10" s="1953"/>
      <c r="Z10" s="1275" t="s">
        <v>129</v>
      </c>
      <c r="AA10" s="1275" t="s">
        <v>130</v>
      </c>
      <c r="AB10" s="1275" t="s">
        <v>131</v>
      </c>
      <c r="AC10" s="1275" t="s">
        <v>132</v>
      </c>
      <c r="AD10" s="1275" t="s">
        <v>133</v>
      </c>
      <c r="AE10" s="1275" t="s">
        <v>134</v>
      </c>
      <c r="AF10" s="1275" t="s">
        <v>135</v>
      </c>
      <c r="AG10" s="1275" t="s">
        <v>136</v>
      </c>
      <c r="AH10" s="1275" t="s">
        <v>137</v>
      </c>
      <c r="AI10" s="1275" t="s">
        <v>138</v>
      </c>
      <c r="AJ10" s="1275" t="s">
        <v>139</v>
      </c>
      <c r="AK10" s="1275" t="s">
        <v>140</v>
      </c>
      <c r="AL10" s="1275" t="s">
        <v>141</v>
      </c>
      <c r="AM10" s="1275" t="s">
        <v>142</v>
      </c>
      <c r="AN10" s="1275" t="s">
        <v>143</v>
      </c>
      <c r="AO10" s="1275" t="s">
        <v>144</v>
      </c>
      <c r="AP10" s="1275" t="s">
        <v>145</v>
      </c>
      <c r="AQ10" s="1275" t="s">
        <v>146</v>
      </c>
    </row>
    <row s="1649" customFormat="1" customHeight="1" ht="12" hidden="1">
      <c r="D11" s="1255" t="s">
        <v>108</v>
      </c>
      <c r="E11" s="1255" t="s">
        <v>109</v>
      </c>
      <c r="F11" s="1255"/>
      <c r="G11" s="1255" t="s">
        <v>89</v>
      </c>
      <c r="H11" s="2000" t="s">
        <v>110</v>
      </c>
      <c r="I11" s="2000"/>
      <c r="J11" s="1255" t="s">
        <v>91</v>
      </c>
      <c r="K11" s="1255" t="s">
        <v>92</v>
      </c>
      <c r="L11" s="2000" t="s">
        <v>111</v>
      </c>
      <c r="M11" s="2000"/>
      <c r="N11" s="1255" t="s">
        <v>98</v>
      </c>
      <c r="O11" s="1255" t="s">
        <v>147</v>
      </c>
      <c r="P11" s="2000" t="s">
        <v>148</v>
      </c>
      <c r="Q11" s="2000"/>
      <c r="R11" s="1255" t="s">
        <v>149</v>
      </c>
      <c r="S11" s="1255" t="s">
        <v>148</v>
      </c>
      <c r="T11" s="2000" t="s">
        <v>149</v>
      </c>
      <c r="U11" s="2000"/>
      <c r="V11" s="1255" t="s">
        <v>150</v>
      </c>
      <c r="W11" s="1255" t="s">
        <v>151</v>
      </c>
      <c r="Y11" s="1275"/>
      <c r="Z11" s="1275"/>
      <c r="AA11" s="1275"/>
      <c r="AB11" s="1275"/>
      <c r="AC11" s="1275"/>
      <c r="AD11" s="1275"/>
      <c r="AE11" s="1275"/>
      <c r="AF11" s="1275"/>
      <c r="AG11" s="1275"/>
      <c r="AH11" s="1275"/>
      <c r="AI11" s="1275"/>
      <c r="AJ11" s="1275"/>
      <c r="AK11" s="1275"/>
      <c r="AL11" s="1275"/>
      <c r="AM11" s="1275"/>
      <c r="AN11" s="1275"/>
      <c r="AO11" s="1275"/>
      <c r="AP11" s="1275"/>
      <c r="AQ11" s="1275"/>
    </row>
    <row customHeight="1" ht="14.25" hidden="1">
      <c r="C12" s="188"/>
      <c r="D12" s="1299">
        <v>0</v>
      </c>
      <c r="E12" s="229"/>
      <c r="F12" s="229"/>
      <c r="G12" s="229"/>
      <c r="H12" s="230"/>
      <c r="I12" s="230"/>
      <c r="J12" s="138"/>
      <c r="K12" s="92"/>
      <c r="L12" s="138"/>
      <c r="M12" s="138"/>
      <c r="N12" s="231"/>
      <c r="O12" s="92"/>
      <c r="P12" s="138"/>
      <c r="Q12" s="138"/>
      <c r="R12" s="232"/>
      <c r="S12" s="265"/>
      <c r="T12" s="273"/>
      <c r="U12" s="273"/>
      <c r="V12" s="276"/>
      <c r="W12" s="92"/>
      <c r="X12" s="121"/>
    </row>
    <row s="1877" customFormat="1" customHeight="1" ht="17.25">
      <c r="A13" s="306"/>
      <c r="C13" s="188"/>
      <c r="D13" s="1973">
        <v>1</v>
      </c>
      <c r="E13" s="1975" t="s">
        <v>152</v>
      </c>
      <c r="F13" s="1977" t="s">
        <v>56</v>
      </c>
      <c r="G13" s="1975"/>
      <c r="H13" s="1980"/>
      <c r="I13" s="1982"/>
      <c r="J13" s="1984"/>
      <c r="K13" s="1971"/>
      <c r="L13" s="1971"/>
      <c r="M13" s="1971"/>
      <c r="N13" s="1987"/>
      <c r="O13" s="1971"/>
      <c r="P13" s="1971"/>
      <c r="Q13" s="1971"/>
      <c r="R13" s="1990"/>
      <c r="S13" s="1971"/>
      <c r="T13" s="1437"/>
      <c r="U13" s="1437"/>
      <c r="V13" s="1436"/>
      <c r="W13" s="1313"/>
      <c r="Y13" s="1283"/>
      <c r="Z13" s="1283"/>
      <c r="AA13" s="1283"/>
      <c r="AB13" s="1283"/>
      <c r="AC13" s="1283" t="s">
        <v>153</v>
      </c>
      <c r="AD13" s="1283" t="s">
        <v>154</v>
      </c>
      <c r="AE13" s="1283" t="s">
        <v>155</v>
      </c>
      <c r="AF13" s="1283" t="s">
        <v>156</v>
      </c>
      <c r="AG13" s="1283" t="s">
        <v>157</v>
      </c>
      <c r="AH13" s="128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83" t="str">
        <f>IF($G$13=0,"",$G$13)</f>
        <v/>
      </c>
      <c r="AJ13" s="1283" t="str">
        <f>IF($J$13=0,"",$J$13)</f>
        <v/>
      </c>
      <c r="AK13" s="1283" t="str">
        <f>IF($K$13="нет","без дифференциации",IF($N$13=0,"",$N$13))</f>
        <v/>
      </c>
      <c r="AL13" s="1283" t="str">
        <f>IF($O$13="нет","без дифференциации",IF($R$13=0,"",$R$13))</f>
        <v/>
      </c>
      <c r="AM13" s="1283" t="str">
        <f>IF($S$13="нет","без дифференциации",IF($V$13=0,"",$V$13))</f>
        <v/>
      </c>
      <c r="AN13" s="1283">
        <f>$I$13</f>
        <v>0</v>
      </c>
      <c r="AO13" s="1283" t="str">
        <f>$I$13&amp;"."&amp;$M$13</f>
        <v>.</v>
      </c>
      <c r="AP13" s="1283" t="str">
        <f>$I$13&amp;"."&amp;$M$13&amp;"."&amp;$Q$13</f>
        <v>..</v>
      </c>
      <c r="AQ13" s="1283" t="str">
        <f>$I$13&amp;"."&amp;$M$13&amp;"."&amp;$Q$13&amp;"."&amp;$U$13</f>
        <v>...</v>
      </c>
    </row>
    <row s="1877" customFormat="1" customHeight="1" ht="17.25">
      <c r="A14" s="306"/>
      <c r="C14" s="305"/>
      <c r="D14" s="1973"/>
      <c r="E14" s="1975"/>
      <c r="F14" s="1978"/>
      <c r="G14" s="1975"/>
      <c r="H14" s="1981"/>
      <c r="I14" s="1983"/>
      <c r="J14" s="1985"/>
      <c r="K14" s="1972"/>
      <c r="L14" s="1972"/>
      <c r="M14" s="1972"/>
      <c r="N14" s="1988"/>
      <c r="O14" s="1972"/>
      <c r="P14" s="1972"/>
      <c r="Q14" s="1972"/>
      <c r="R14" s="1989"/>
      <c r="S14" s="1972"/>
      <c r="T14" s="1314"/>
      <c r="U14" s="1314"/>
      <c r="V14" s="1314"/>
      <c r="W14" s="1315"/>
      <c r="Y14" s="1275"/>
      <c r="Z14" s="1275"/>
      <c r="AA14" s="1275"/>
      <c r="AB14" s="1275"/>
      <c r="AC14" s="1275"/>
      <c r="AD14" s="1275"/>
      <c r="AE14" s="1275"/>
      <c r="AF14" s="1275"/>
      <c r="AG14" s="1275"/>
      <c r="AH14" s="1275"/>
      <c r="AI14" s="1275"/>
      <c r="AJ14" s="1275"/>
      <c r="AK14" s="1275"/>
      <c r="AL14" s="1275"/>
      <c r="AM14" s="1275"/>
      <c r="AN14" s="1275"/>
      <c r="AO14" s="1275"/>
      <c r="AP14" s="1275"/>
      <c r="AQ14" s="1275"/>
    </row>
    <row s="1877" customFormat="1" customHeight="1" ht="17.25">
      <c r="A15" s="306"/>
      <c r="C15" s="188"/>
      <c r="D15" s="1973"/>
      <c r="E15" s="1975"/>
      <c r="F15" s="1978"/>
      <c r="G15" s="1975"/>
      <c r="H15" s="1981"/>
      <c r="I15" s="1983"/>
      <c r="J15" s="1986"/>
      <c r="K15" s="1972"/>
      <c r="L15" s="1972"/>
      <c r="M15" s="1972"/>
      <c r="N15" s="1989"/>
      <c r="O15" s="1972"/>
      <c r="P15" s="1435"/>
      <c r="Q15" s="1314"/>
      <c r="R15" s="1314"/>
      <c r="S15" s="317"/>
      <c r="T15" s="317"/>
      <c r="U15" s="317"/>
      <c r="V15" s="317"/>
      <c r="W15" s="1315"/>
      <c r="Y15" s="1283"/>
      <c r="Z15" s="1283"/>
      <c r="AA15" s="1283"/>
      <c r="AB15" s="1283"/>
      <c r="AC15" s="1283"/>
      <c r="AD15" s="1283"/>
      <c r="AE15" s="1283"/>
      <c r="AF15" s="1283"/>
      <c r="AG15" s="1283"/>
      <c r="AH15" s="1283"/>
      <c r="AI15" s="1283"/>
      <c r="AJ15" s="1283"/>
      <c r="AK15" s="1283"/>
      <c r="AL15" s="1283"/>
      <c r="AM15" s="1283"/>
      <c r="AN15" s="1283"/>
      <c r="AO15" s="1283"/>
      <c r="AP15" s="1283"/>
      <c r="AQ15" s="1283"/>
    </row>
    <row s="1877" customFormat="1" customHeight="1" ht="17.25">
      <c r="A16" s="306"/>
      <c r="C16" s="305"/>
      <c r="D16" s="1973"/>
      <c r="E16" s="1975"/>
      <c r="F16" s="1978"/>
      <c r="G16" s="1975"/>
      <c r="H16" s="1981"/>
      <c r="I16" s="1983"/>
      <c r="J16" s="1986"/>
      <c r="K16" s="1972"/>
      <c r="L16" s="1314"/>
      <c r="M16" s="1314"/>
      <c r="N16" s="1314"/>
      <c r="O16" s="1314"/>
      <c r="P16" s="1314"/>
      <c r="Q16" s="1314"/>
      <c r="R16" s="1314"/>
      <c r="S16" s="317"/>
      <c r="T16" s="317"/>
      <c r="U16" s="317"/>
      <c r="V16" s="317"/>
      <c r="W16" s="1315"/>
      <c r="Y16" s="1275"/>
      <c r="Z16" s="1275"/>
      <c r="AA16" s="1275"/>
      <c r="AB16" s="1275"/>
      <c r="AC16" s="1275"/>
      <c r="AD16" s="1275"/>
      <c r="AE16" s="1275"/>
      <c r="AF16" s="1275"/>
      <c r="AG16" s="1275"/>
      <c r="AH16" s="1275"/>
      <c r="AI16" s="1275"/>
      <c r="AJ16" s="1275"/>
      <c r="AK16" s="1275"/>
      <c r="AL16" s="1275"/>
      <c r="AM16" s="1275"/>
      <c r="AN16" s="1275"/>
      <c r="AO16" s="1275"/>
      <c r="AP16" s="1275"/>
      <c r="AQ16" s="1275"/>
    </row>
    <row s="1877" customFormat="1" customHeight="1" ht="17.25">
      <c r="A17" s="306"/>
      <c r="C17" s="305"/>
      <c r="D17" s="1974"/>
      <c r="E17" s="1976"/>
      <c r="F17" s="1979"/>
      <c r="G17" s="1976"/>
      <c r="H17" s="1316"/>
      <c r="I17" s="1317"/>
      <c r="J17" s="1317"/>
      <c r="K17" s="1317"/>
      <c r="L17" s="1317"/>
      <c r="M17" s="1317"/>
      <c r="N17" s="1317"/>
      <c r="O17" s="1317"/>
      <c r="P17" s="1317"/>
      <c r="Q17" s="1317"/>
      <c r="R17" s="1317"/>
      <c r="S17" s="1318"/>
      <c r="T17" s="1318"/>
      <c r="U17" s="1318"/>
      <c r="V17" s="1318"/>
      <c r="W17" s="1319"/>
      <c r="Y17" s="1275"/>
      <c r="Z17" s="1275"/>
      <c r="AA17" s="1275"/>
      <c r="AB17" s="1275"/>
      <c r="AC17" s="1275"/>
      <c r="AD17" s="1275"/>
      <c r="AE17" s="1275"/>
      <c r="AF17" s="1275"/>
      <c r="AG17" s="1275"/>
      <c r="AH17" s="1275"/>
      <c r="AI17" s="1275"/>
      <c r="AJ17" s="1275"/>
      <c r="AK17" s="1275"/>
      <c r="AL17" s="1275"/>
      <c r="AM17" s="1275"/>
      <c r="AN17" s="1275"/>
      <c r="AO17" s="1275"/>
      <c r="AP17" s="1275"/>
      <c r="AQ17" s="1275"/>
    </row>
    <row s="1877" customFormat="1" customHeight="1" ht="17.25">
      <c r="A18" s="306"/>
      <c r="C18" s="188"/>
      <c r="D18" s="1973">
        <v>2</v>
      </c>
      <c r="E18" s="1975" t="s">
        <v>158</v>
      </c>
      <c r="F18" s="1977" t="s">
        <v>66</v>
      </c>
      <c r="G18" s="2440" t="str">
        <f>"Производство тепловой энергии. Некомбинированная выработка, Передача. Тепловая энергия"&amp;", "&amp;INDEX(HEAT_PT_VED_NAME,MATCH(4190070,HEAT_PT_VED_ID,0))</f>
        <v>Производство тепловой энергии. Некомбинированная выработка, Передача. Тепловая энергия, Сбыт. Тепловая энергия</v>
      </c>
      <c r="H18" s="2361"/>
      <c r="I18" s="2361">
        <v>1</v>
      </c>
      <c r="J18" s="2371" t="s">
        <v>159</v>
      </c>
      <c r="K18" s="2026" t="s">
        <v>66</v>
      </c>
      <c r="L18" s="1964"/>
      <c r="M18" s="1964" t="s">
        <v>108</v>
      </c>
      <c r="N18" s="2369" t="str">
        <f>IF(Z18="","",INDEX(TERRITORY_MR_LIST,MATCH(Z18,TERRITORY_LIST_ID,0)))</f>
        <v>Территория 1</v>
      </c>
      <c r="O18" s="2026" t="s">
        <v>56</v>
      </c>
      <c r="P18" s="1964"/>
      <c r="Q18" s="1964" t="s">
        <v>108</v>
      </c>
      <c r="R18" s="2441" t="s">
        <v>24</v>
      </c>
      <c r="S18" s="1963" t="s">
        <v>56</v>
      </c>
      <c r="T18" s="1964"/>
      <c r="U18" s="1964" t="s">
        <v>108</v>
      </c>
      <c r="V18" s="2441" t="s">
        <v>24</v>
      </c>
      <c r="W18" s="2371"/>
      <c r="X18" s="1283"/>
      <c r="Y18" s="1283"/>
      <c r="Z18" s="1283" t="s">
        <v>97</v>
      </c>
      <c r="AA18" s="1283"/>
      <c r="AB18" s="1283" t="s">
        <v>160</v>
      </c>
      <c r="AC18" s="1283" t="s">
        <v>161</v>
      </c>
      <c r="AD18" s="1283" t="s">
        <v>162</v>
      </c>
      <c r="AE18" s="1283" t="s">
        <v>163</v>
      </c>
      <c r="AF18" s="1283" t="s">
        <v>164</v>
      </c>
      <c r="AG18" s="1283" t="s">
        <v>165</v>
      </c>
      <c r="AH18" s="1283" t="str">
        <f>IF($E$18=0,"",$E$18)</f>
        <v>Тарифы на тепловую энергию (мощность), поставляемую теплоснабжающими организациями потребителям, другим теплоснабжающим организациям</v>
      </c>
      <c r="AI18" s="1283" t="str">
        <f>IF($G$18=0,"",$G$18)</f>
        <v>Производство тепловой энергии. Некомбинированная выработка, Передача. Тепловая энергия, Сбыт. Тепловая энергия</v>
      </c>
      <c r="AJ18" s="1283" t="str">
        <f>IF($J$18=0,"",$J$18)</f>
        <v>Тарифы на тепловую энергию, поставляемую обществом с ограниченной ответственностью "ПРОМ ИМПУЛЬС" потребителям, расположенным на территории Санкт-Петербурга</v>
      </c>
      <c r="AK18" s="1283" t="str">
        <f>IF($K$18="нет","без дифференциации",IF($N$18=0,"",$N$18))</f>
        <v>Территория 1</v>
      </c>
      <c r="AL18" s="1283" t="str">
        <f>IF($O$18="нет","без дифференциации",IF($R$18=0,"",$R$18))</f>
        <v>без дифференциации</v>
      </c>
      <c r="AM18" s="1283" t="str">
        <f>IF($S$18="нет","без дифференциации",IF($V$18=0,"",$V$18))</f>
        <v>без дифференциации</v>
      </c>
      <c r="AN18" s="1797">
        <f>$I$18</f>
        <v>1</v>
      </c>
      <c r="AO18" s="1283" t="str">
        <f>$I$18&amp;"."&amp;$M$18</f>
        <v>1.1</v>
      </c>
      <c r="AP18" s="1275" t="str">
        <f>$I$18&amp;"."&amp;$M$18&amp;"."&amp;$Q$18</f>
        <v>1.1.1</v>
      </c>
      <c r="AQ18" s="1275" t="str">
        <f>$I$18&amp;"."&amp;$M$18&amp;"."&amp;$Q$18&amp;"."&amp;$U$18</f>
        <v>1.1.1.1</v>
      </c>
    </row>
    <row s="1877" customFormat="1" customHeight="1" ht="17.25">
      <c r="A19" s="306"/>
      <c r="C19" s="305"/>
      <c r="D19" s="1973"/>
      <c r="E19" s="1975"/>
      <c r="F19" s="1978"/>
      <c r="G19" s="2440"/>
      <c r="H19" s="2361"/>
      <c r="I19" s="2361"/>
      <c r="J19" s="2371"/>
      <c r="K19" s="2027"/>
      <c r="L19" s="1964"/>
      <c r="M19" s="1964"/>
      <c r="N19" s="2369"/>
      <c r="O19" s="2027"/>
      <c r="P19" s="1964"/>
      <c r="Q19" s="1964"/>
      <c r="R19" s="2441" t="s">
        <v>24</v>
      </c>
      <c r="S19" s="1963"/>
      <c r="T19" s="2442"/>
      <c r="U19" s="2443"/>
      <c r="V19" s="2444" t="s">
        <v>166</v>
      </c>
      <c r="W19" s="2445"/>
      <c r="X19" s="1275"/>
      <c r="Y19" s="1275"/>
      <c r="Z19" s="1275"/>
      <c r="AA19" s="1275"/>
      <c r="AB19" s="1275"/>
      <c r="AC19" s="1275"/>
      <c r="AD19" s="1275"/>
      <c r="AE19" s="1275"/>
      <c r="AF19" s="1275"/>
      <c r="AG19" s="1275"/>
      <c r="AH19" s="1275"/>
      <c r="AI19" s="1275"/>
      <c r="AJ19" s="1275"/>
      <c r="AK19" s="1275"/>
      <c r="AL19" s="1275"/>
      <c r="AM19" s="1275"/>
      <c r="AN19" s="1275"/>
      <c r="AO19" s="1275"/>
      <c r="AP19" s="1275"/>
      <c r="AQ19" s="1275"/>
    </row>
    <row s="1877" customFormat="1" customHeight="1" ht="17.25">
      <c r="A20" s="306"/>
      <c r="C20" s="305"/>
      <c r="D20" s="1974"/>
      <c r="E20" s="1976"/>
      <c r="F20" s="1978"/>
      <c r="G20" s="2446"/>
      <c r="H20" s="2336"/>
      <c r="I20" s="2336"/>
      <c r="J20" s="2372"/>
      <c r="K20" s="2027"/>
      <c r="L20" s="2336"/>
      <c r="M20" s="2336"/>
      <c r="N20" s="2370"/>
      <c r="O20" s="1968"/>
      <c r="P20" s="2447"/>
      <c r="Q20" s="2448"/>
      <c r="R20" s="2449" t="s">
        <v>167</v>
      </c>
      <c r="S20" s="2450"/>
      <c r="T20" s="2451"/>
      <c r="U20" s="2452"/>
      <c r="V20" s="2453"/>
      <c r="W20" s="2454"/>
      <c r="X20" s="1275"/>
      <c r="Y20" s="1275"/>
      <c r="Z20" s="1275"/>
      <c r="AA20" s="1275"/>
      <c r="AB20" s="1275"/>
      <c r="AC20" s="1275"/>
      <c r="AD20" s="1275"/>
      <c r="AE20" s="1275"/>
      <c r="AF20" s="1275"/>
      <c r="AG20" s="1275"/>
      <c r="AH20" s="1275"/>
      <c r="AI20" s="1275"/>
      <c r="AJ20" s="1275"/>
      <c r="AK20" s="1275"/>
      <c r="AL20" s="1275"/>
      <c r="AM20" s="1275"/>
      <c r="AN20" s="1275"/>
      <c r="AO20" s="1275"/>
      <c r="AP20" s="1275"/>
      <c r="AQ20" s="1275"/>
    </row>
    <row s="1877" customFormat="1" customHeight="1" ht="17.25">
      <c r="A21" s="306"/>
      <c r="C21" s="305"/>
      <c r="D21" s="1974"/>
      <c r="E21" s="1976"/>
      <c r="F21" s="1978"/>
      <c r="G21" s="2446"/>
      <c r="H21" s="2336"/>
      <c r="I21" s="2336"/>
      <c r="J21" s="2372"/>
      <c r="K21" s="1968"/>
      <c r="L21" s="2455"/>
      <c r="M21" s="2456"/>
      <c r="N21" s="2457" t="s">
        <v>168</v>
      </c>
      <c r="O21" s="2458"/>
      <c r="P21" s="2459"/>
      <c r="Q21" s="2460"/>
      <c r="R21" s="2461"/>
      <c r="S21" s="2462"/>
      <c r="T21" s="2463"/>
      <c r="U21" s="2464"/>
      <c r="V21" s="2465"/>
      <c r="W21" s="2466"/>
      <c r="X21" s="1275"/>
      <c r="Y21" s="1275"/>
      <c r="Z21" s="1275"/>
      <c r="AA21" s="1275"/>
      <c r="AB21" s="1275"/>
      <c r="AC21" s="1275"/>
      <c r="AD21" s="1275"/>
      <c r="AE21" s="1275"/>
      <c r="AF21" s="1275"/>
      <c r="AG21" s="1275"/>
      <c r="AH21" s="1275"/>
      <c r="AI21" s="1275"/>
      <c r="AJ21" s="1275"/>
      <c r="AK21" s="1275"/>
      <c r="AL21" s="1275"/>
      <c r="AM21" s="1275"/>
      <c r="AN21" s="1275"/>
      <c r="AO21" s="1275"/>
      <c r="AP21" s="1275"/>
      <c r="AQ21" s="1275"/>
    </row>
    <row customHeight="1" ht="17.25">
      <c r="A22" s="1864"/>
      <c r="B22" s="1877"/>
      <c r="C22" s="1866"/>
      <c r="D22" s="1855"/>
      <c r="E22" s="1871"/>
      <c r="F22" s="1809"/>
      <c r="G22" s="1872"/>
      <c r="H22" s="2335" t="s">
        <v>169</v>
      </c>
      <c r="I22" s="2335" t="s">
        <v>109</v>
      </c>
      <c r="J22" s="2371" t="s">
        <v>170</v>
      </c>
      <c r="K22" s="2026" t="s">
        <v>66</v>
      </c>
      <c r="L22" s="1964"/>
      <c r="M22" s="1964" t="s">
        <v>108</v>
      </c>
      <c r="N22" s="2369" t="str">
        <f>IF(Z22="","",INDEX(TERRITORY_MR_LIST,MATCH(Z22,TERRITORY_LIST_ID,0)))</f>
        <v>Территория 1</v>
      </c>
      <c r="O22" s="2026" t="s">
        <v>56</v>
      </c>
      <c r="P22" s="1964"/>
      <c r="Q22" s="1964" t="s">
        <v>108</v>
      </c>
      <c r="R22" s="2467" t="s">
        <v>24</v>
      </c>
      <c r="S22" s="1963" t="s">
        <v>56</v>
      </c>
      <c r="T22" s="1836"/>
      <c r="U22" s="1836" t="s">
        <v>108</v>
      </c>
      <c r="V22" s="2468" t="s">
        <v>24</v>
      </c>
      <c r="W22" s="1826"/>
      <c r="X22" s="1877"/>
      <c r="Y22" s="1283"/>
      <c r="Z22" s="1283" t="s">
        <v>97</v>
      </c>
      <c r="AA22" s="1283"/>
      <c r="AB22" s="1283"/>
      <c r="AC22" s="1283" t="s">
        <v>161</v>
      </c>
      <c r="AD22" s="1283" t="s">
        <v>171</v>
      </c>
      <c r="AE22" s="1283" t="s">
        <v>172</v>
      </c>
      <c r="AF22" s="1283" t="s">
        <v>173</v>
      </c>
      <c r="AG22" s="1283" t="s">
        <v>174</v>
      </c>
      <c r="AH22" s="1283" t="str">
        <f>IF($E$18=0,"",$E$18)</f>
        <v>Тарифы на тепловую энергию (мощность), поставляемую теплоснабжающими организациями потребителям, другим теплоснабжающим организациям</v>
      </c>
      <c r="AI22" s="1283" t="str">
        <f>IF($G$18=0,"",$G$18)</f>
        <v>Производство тепловой энергии. Некомбинированная выработка, Передача. Тепловая энергия, Сбыт. Тепловая энергия</v>
      </c>
      <c r="AJ22" s="1283" t="str">
        <f>IF($J$22=0,"",$J$22)</f>
        <v>Тарифы на тепловую энергию, поставляемую обществом с ограниченной ответственностью "ПРОМ ИМПУЛЬС" на коллекторах источников тепловой энергии потребителям, расположенным на территории Санкт-Петербурга</v>
      </c>
      <c r="AK22" s="1283" t="str">
        <f>IF($K$22="нет","без дифференциации",IF($N$22=0,"",$N$22))</f>
        <v>Территория 1</v>
      </c>
      <c r="AL22" s="1868" t="str">
        <f>IF($O$22="нет","без дифференциации",IF($R$22=0,"",$R$22))</f>
        <v>без дифференциации</v>
      </c>
      <c r="AM22" s="1868" t="str">
        <f>IF($S$22="нет","без дифференциации",IF($V$22=0,"",$V$22))</f>
        <v>без дифференциации</v>
      </c>
      <c r="AN22" s="1283" t="str">
        <f>$I$22</f>
        <v>2</v>
      </c>
      <c r="AO22" s="1283" t="str">
        <f>$I$22&amp;"."&amp;$M$22</f>
        <v>2.1</v>
      </c>
      <c r="AP22" s="1283" t="str">
        <f>$I$22&amp;"."&amp;$M$22&amp;"."&amp;$Q$22</f>
        <v>2.1.1</v>
      </c>
      <c r="AQ22" s="1283" t="str">
        <f>$I$22&amp;"."&amp;$M$22&amp;"."&amp;$Q$22&amp;"."&amp;$U$22</f>
        <v>2.1.1.1</v>
      </c>
      <c r="AR22" s="1877"/>
    </row>
    <row customHeight="1" ht="17.25">
      <c r="A23" s="1864"/>
      <c r="B23" s="1877"/>
      <c r="C23" s="1869"/>
      <c r="D23" s="1855"/>
      <c r="E23" s="1871"/>
      <c r="F23" s="1809"/>
      <c r="G23" s="1872"/>
      <c r="H23" s="2335"/>
      <c r="I23" s="2335"/>
      <c r="J23" s="2371"/>
      <c r="K23" s="2027"/>
      <c r="L23" s="1964"/>
      <c r="M23" s="1964"/>
      <c r="N23" s="2369"/>
      <c r="O23" s="2027"/>
      <c r="P23" s="1964"/>
      <c r="Q23" s="1964"/>
      <c r="R23" s="2467" t="s">
        <v>24</v>
      </c>
      <c r="S23" s="1963"/>
      <c r="T23" s="302"/>
      <c r="U23" s="303"/>
      <c r="V23" s="303" t="s">
        <v>166</v>
      </c>
      <c r="W23" s="304"/>
      <c r="X23" s="1877"/>
      <c r="Y23" s="1275"/>
      <c r="Z23" s="1275"/>
      <c r="AA23" s="1275"/>
      <c r="AB23" s="1275"/>
      <c r="AC23" s="1275"/>
      <c r="AD23" s="1275"/>
      <c r="AE23" s="1275"/>
      <c r="AF23" s="1275"/>
      <c r="AG23" s="1275"/>
      <c r="AH23" s="1275"/>
      <c r="AI23" s="1275"/>
      <c r="AJ23" s="1275"/>
      <c r="AK23" s="1275"/>
      <c r="AL23" s="1877"/>
      <c r="AM23" s="1877"/>
      <c r="AN23" s="1877"/>
      <c r="AO23" s="1877"/>
      <c r="AP23" s="1877"/>
      <c r="AQ23" s="1877"/>
      <c r="AR23" s="1877"/>
    </row>
    <row customHeight="1" ht="17.25">
      <c r="A24" s="1864"/>
      <c r="B24" s="1877"/>
      <c r="C24" s="1869"/>
      <c r="D24" s="1855"/>
      <c r="E24" s="1871"/>
      <c r="F24" s="1809"/>
      <c r="G24" s="1872"/>
      <c r="H24" s="2336"/>
      <c r="I24" s="2336"/>
      <c r="J24" s="2372"/>
      <c r="K24" s="2027"/>
      <c r="L24" s="2336"/>
      <c r="M24" s="2336"/>
      <c r="N24" s="2370"/>
      <c r="O24" s="1968"/>
      <c r="P24" s="302"/>
      <c r="Q24" s="303"/>
      <c r="R24" s="303" t="s">
        <v>167</v>
      </c>
      <c r="S24" s="1870"/>
      <c r="T24" s="1870"/>
      <c r="U24" s="1870"/>
      <c r="V24" s="1870"/>
      <c r="W24" s="304"/>
      <c r="X24" s="1877"/>
      <c r="Y24" s="1275"/>
      <c r="Z24" s="1275"/>
      <c r="AA24" s="1275"/>
      <c r="AB24" s="1275"/>
      <c r="AC24" s="1275"/>
      <c r="AD24" s="1275"/>
      <c r="AE24" s="1275"/>
      <c r="AF24" s="1275"/>
      <c r="AG24" s="1275"/>
      <c r="AH24" s="1275"/>
      <c r="AI24" s="1275"/>
      <c r="AJ24" s="1275"/>
      <c r="AK24" s="1275"/>
      <c r="AL24" s="1877"/>
      <c r="AM24" s="1877"/>
      <c r="AN24" s="1877"/>
      <c r="AO24" s="1877"/>
      <c r="AP24" s="1877"/>
      <c r="AQ24" s="1877"/>
      <c r="AR24" s="1877"/>
    </row>
    <row customHeight="1" ht="17.25">
      <c r="A25" s="1864"/>
      <c r="B25" s="1877"/>
      <c r="C25" s="1869"/>
      <c r="D25" s="1855"/>
      <c r="E25" s="1871"/>
      <c r="F25" s="1809"/>
      <c r="G25" s="1872"/>
      <c r="H25" s="2336"/>
      <c r="I25" s="2336"/>
      <c r="J25" s="2372"/>
      <c r="K25" s="1968"/>
      <c r="L25" s="302"/>
      <c r="M25" s="303"/>
      <c r="N25" s="303" t="s">
        <v>168</v>
      </c>
      <c r="O25" s="303"/>
      <c r="P25" s="303"/>
      <c r="Q25" s="303"/>
      <c r="R25" s="303"/>
      <c r="S25" s="1870"/>
      <c r="T25" s="1870"/>
      <c r="U25" s="1870"/>
      <c r="V25" s="1870"/>
      <c r="W25" s="304"/>
      <c r="X25" s="1877"/>
      <c r="Y25" s="1275"/>
      <c r="Z25" s="1275"/>
      <c r="AA25" s="1275"/>
      <c r="AB25" s="1275"/>
      <c r="AC25" s="1275"/>
      <c r="AD25" s="1275"/>
      <c r="AE25" s="1275"/>
      <c r="AF25" s="1275"/>
      <c r="AG25" s="1275"/>
      <c r="AH25" s="1275"/>
      <c r="AI25" s="1275"/>
      <c r="AJ25" s="1275"/>
      <c r="AK25" s="1275"/>
      <c r="AL25" s="1877"/>
      <c r="AM25" s="1877"/>
      <c r="AN25" s="1877"/>
      <c r="AO25" s="1877"/>
      <c r="AP25" s="1877"/>
      <c r="AQ25" s="1877"/>
      <c r="AR25" s="1877"/>
    </row>
    <row customHeight="1" ht="17.25">
      <c r="A26" s="1864"/>
      <c r="B26" s="1877"/>
      <c r="C26" s="1866"/>
      <c r="D26" s="1855"/>
      <c r="E26" s="1871"/>
      <c r="F26" s="1809"/>
      <c r="G26" s="1872"/>
      <c r="H26" s="2335" t="s">
        <v>169</v>
      </c>
      <c r="I26" s="2335" t="s">
        <v>89</v>
      </c>
      <c r="J26" s="2371" t="s">
        <v>175</v>
      </c>
      <c r="K26" s="2026" t="s">
        <v>66</v>
      </c>
      <c r="L26" s="1964"/>
      <c r="M26" s="1964" t="s">
        <v>108</v>
      </c>
      <c r="N26" s="2369" t="str">
        <f>IF(Z26="","",INDEX(TERRITORY_MR_LIST,MATCH(Z26,TERRITORY_LIST_ID,0)))</f>
        <v>Территория 1</v>
      </c>
      <c r="O26" s="2026" t="s">
        <v>56</v>
      </c>
      <c r="P26" s="1964"/>
      <c r="Q26" s="1964" t="s">
        <v>108</v>
      </c>
      <c r="R26" s="2467" t="s">
        <v>24</v>
      </c>
      <c r="S26" s="1963" t="s">
        <v>56</v>
      </c>
      <c r="T26" s="1836"/>
      <c r="U26" s="1836" t="s">
        <v>108</v>
      </c>
      <c r="V26" s="2468" t="s">
        <v>24</v>
      </c>
      <c r="W26" s="1826"/>
      <c r="X26" s="1877"/>
      <c r="Y26" s="1283"/>
      <c r="Z26" s="1283" t="s">
        <v>97</v>
      </c>
      <c r="AA26" s="1283"/>
      <c r="AB26" s="1283"/>
      <c r="AC26" s="1283" t="s">
        <v>161</v>
      </c>
      <c r="AD26" s="1283" t="s">
        <v>176</v>
      </c>
      <c r="AE26" s="1283" t="s">
        <v>177</v>
      </c>
      <c r="AF26" s="1283" t="s">
        <v>178</v>
      </c>
      <c r="AG26" s="1283" t="s">
        <v>179</v>
      </c>
      <c r="AH26" s="1283" t="str">
        <f>IF($E$18=0,"",$E$18)</f>
        <v>Тарифы на тепловую энергию (мощность), поставляемую теплоснабжающими организациями потребителям, другим теплоснабжающим организациям</v>
      </c>
      <c r="AI26" s="1283" t="str">
        <f>IF($G$18=0,"",$G$18)</f>
        <v>Производство тепловой энергии. Некомбинированная выработка, Передача. Тепловая энергия, Сбыт. Тепловая энергия</v>
      </c>
      <c r="AJ26" s="1283" t="str">
        <f>IF($J$26=0,"",$J$26)</f>
        <v>Льготный тариф на тепловую энергию</v>
      </c>
      <c r="AK26" s="1283" t="str">
        <f>IF($K$26="нет","без дифференциации",IF($N$26=0,"",$N$26))</f>
        <v>Территория 1</v>
      </c>
      <c r="AL26" s="1868" t="str">
        <f>IF($O$26="нет","без дифференциации",IF($R$26=0,"",$R$26))</f>
        <v>без дифференциации</v>
      </c>
      <c r="AM26" s="1868" t="str">
        <f>IF($S$26="нет","без дифференциации",IF($V$26=0,"",$V$26))</f>
        <v>без дифференциации</v>
      </c>
      <c r="AN26" s="1283" t="str">
        <f>$I$26</f>
        <v>3</v>
      </c>
      <c r="AO26" s="1283" t="str">
        <f>$I$26&amp;"."&amp;$M$26</f>
        <v>3.1</v>
      </c>
      <c r="AP26" s="1283" t="str">
        <f>$I$26&amp;"."&amp;$M$26&amp;"."&amp;$Q$26</f>
        <v>3.1.1</v>
      </c>
      <c r="AQ26" s="1283" t="str">
        <f>$I$26&amp;"."&amp;$M$26&amp;"."&amp;$Q$26&amp;"."&amp;$U$26</f>
        <v>3.1.1.1</v>
      </c>
      <c r="AR26" s="1877"/>
    </row>
    <row customHeight="1" ht="17.25">
      <c r="A27" s="1864"/>
      <c r="B27" s="1877"/>
      <c r="C27" s="1869"/>
      <c r="D27" s="1855"/>
      <c r="E27" s="1871"/>
      <c r="F27" s="1809"/>
      <c r="G27" s="1872"/>
      <c r="H27" s="2335"/>
      <c r="I27" s="2335"/>
      <c r="J27" s="2371"/>
      <c r="K27" s="2027"/>
      <c r="L27" s="1964"/>
      <c r="M27" s="1964"/>
      <c r="N27" s="2369"/>
      <c r="O27" s="2027"/>
      <c r="P27" s="1964"/>
      <c r="Q27" s="1964"/>
      <c r="R27" s="2467" t="s">
        <v>24</v>
      </c>
      <c r="S27" s="1963"/>
      <c r="T27" s="302"/>
      <c r="U27" s="303"/>
      <c r="V27" s="303" t="s">
        <v>166</v>
      </c>
      <c r="W27" s="304"/>
      <c r="X27" s="1877"/>
      <c r="Y27" s="1275"/>
      <c r="Z27" s="1275"/>
      <c r="AA27" s="1275"/>
      <c r="AB27" s="1275"/>
      <c r="AC27" s="1275"/>
      <c r="AD27" s="1275"/>
      <c r="AE27" s="1275"/>
      <c r="AF27" s="1275"/>
      <c r="AG27" s="1275"/>
      <c r="AH27" s="1275"/>
      <c r="AI27" s="1275"/>
      <c r="AJ27" s="1275"/>
      <c r="AK27" s="1275"/>
      <c r="AL27" s="1877"/>
      <c r="AM27" s="1877"/>
      <c r="AN27" s="1877"/>
      <c r="AO27" s="1877"/>
      <c r="AP27" s="1877"/>
      <c r="AQ27" s="1877"/>
      <c r="AR27" s="1877"/>
    </row>
    <row customHeight="1" ht="17.25">
      <c r="A28" s="1864"/>
      <c r="B28" s="1877"/>
      <c r="C28" s="1869"/>
      <c r="D28" s="1855"/>
      <c r="E28" s="1871"/>
      <c r="F28" s="1809"/>
      <c r="G28" s="1872"/>
      <c r="H28" s="2336"/>
      <c r="I28" s="2336"/>
      <c r="J28" s="2372"/>
      <c r="K28" s="2027"/>
      <c r="L28" s="2336"/>
      <c r="M28" s="2336"/>
      <c r="N28" s="2370"/>
      <c r="O28" s="1968"/>
      <c r="P28" s="302"/>
      <c r="Q28" s="303"/>
      <c r="R28" s="303" t="s">
        <v>167</v>
      </c>
      <c r="S28" s="1870"/>
      <c r="T28" s="1870"/>
      <c r="U28" s="1870"/>
      <c r="V28" s="1870"/>
      <c r="W28" s="304"/>
      <c r="X28" s="1877"/>
      <c r="Y28" s="1275"/>
      <c r="Z28" s="1275"/>
      <c r="AA28" s="1275"/>
      <c r="AB28" s="1275"/>
      <c r="AC28" s="1275"/>
      <c r="AD28" s="1275"/>
      <c r="AE28" s="1275"/>
      <c r="AF28" s="1275"/>
      <c r="AG28" s="1275"/>
      <c r="AH28" s="1275"/>
      <c r="AI28" s="1275"/>
      <c r="AJ28" s="1275"/>
      <c r="AK28" s="1275"/>
      <c r="AL28" s="1877"/>
      <c r="AM28" s="1877"/>
      <c r="AN28" s="1877"/>
      <c r="AO28" s="1877"/>
      <c r="AP28" s="1877"/>
      <c r="AQ28" s="1877"/>
      <c r="AR28" s="1877"/>
    </row>
    <row customHeight="1" ht="17.25">
      <c r="A29" s="1864"/>
      <c r="B29" s="1877"/>
      <c r="C29" s="1869"/>
      <c r="D29" s="1855"/>
      <c r="E29" s="1871"/>
      <c r="F29" s="1809"/>
      <c r="G29" s="1872"/>
      <c r="H29" s="2336"/>
      <c r="I29" s="2336"/>
      <c r="J29" s="2372"/>
      <c r="K29" s="1968"/>
      <c r="L29" s="302"/>
      <c r="M29" s="303"/>
      <c r="N29" s="303" t="s">
        <v>168</v>
      </c>
      <c r="O29" s="303"/>
      <c r="P29" s="303"/>
      <c r="Q29" s="303"/>
      <c r="R29" s="303"/>
      <c r="S29" s="1870"/>
      <c r="T29" s="1870"/>
      <c r="U29" s="1870"/>
      <c r="V29" s="1870"/>
      <c r="W29" s="304"/>
      <c r="X29" s="1877"/>
      <c r="Y29" s="1275"/>
      <c r="Z29" s="1275"/>
      <c r="AA29" s="1275"/>
      <c r="AB29" s="1275"/>
      <c r="AC29" s="1275"/>
      <c r="AD29" s="1275"/>
      <c r="AE29" s="1275"/>
      <c r="AF29" s="1275"/>
      <c r="AG29" s="1275"/>
      <c r="AH29" s="1275"/>
      <c r="AI29" s="1275"/>
      <c r="AJ29" s="1275"/>
      <c r="AK29" s="1275"/>
      <c r="AL29" s="1877"/>
      <c r="AM29" s="1877"/>
      <c r="AN29" s="1877"/>
      <c r="AO29" s="1877"/>
      <c r="AP29" s="1877"/>
      <c r="AQ29" s="1877"/>
      <c r="AR29" s="1877"/>
    </row>
    <row s="1877" customFormat="1" customHeight="1" ht="17.25">
      <c r="A30" s="306"/>
      <c r="C30" s="305"/>
      <c r="D30" s="1974"/>
      <c r="E30" s="1976"/>
      <c r="F30" s="1979"/>
      <c r="G30" s="2446"/>
      <c r="H30" s="2469"/>
      <c r="I30" s="2470"/>
      <c r="J30" s="2471" t="s">
        <v>180</v>
      </c>
      <c r="K30" s="2472"/>
      <c r="L30" s="2473"/>
      <c r="M30" s="2474"/>
      <c r="N30" s="2475"/>
      <c r="O30" s="2476"/>
      <c r="P30" s="2477"/>
      <c r="Q30" s="2478"/>
      <c r="R30" s="2479"/>
      <c r="S30" s="2480"/>
      <c r="T30" s="2481"/>
      <c r="U30" s="2482"/>
      <c r="V30" s="2483"/>
      <c r="W30" s="2484"/>
      <c r="X30" s="1275"/>
      <c r="Y30" s="1275"/>
      <c r="Z30" s="1275"/>
      <c r="AA30" s="1275"/>
      <c r="AB30" s="1275"/>
      <c r="AC30" s="1275"/>
      <c r="AD30" s="1275"/>
      <c r="AE30" s="1275"/>
      <c r="AF30" s="1275"/>
      <c r="AG30" s="1275"/>
      <c r="AH30" s="1275"/>
      <c r="AI30" s="1275"/>
      <c r="AJ30" s="1275"/>
      <c r="AK30" s="1275"/>
      <c r="AL30" s="1275"/>
      <c r="AM30" s="1275"/>
      <c r="AN30" s="1275"/>
      <c r="AO30" s="1275"/>
      <c r="AP30" s="1275"/>
      <c r="AQ30" s="1275"/>
    </row>
    <row s="1877" customFormat="1" customHeight="1" ht="17.25">
      <c r="A31" s="306"/>
      <c r="C31" s="188"/>
      <c r="D31" s="1973">
        <v>3</v>
      </c>
      <c r="E31" s="1975" t="s">
        <v>181</v>
      </c>
      <c r="F31" s="1977" t="s">
        <v>66</v>
      </c>
      <c r="G31" s="2440" t="str">
        <f>"Производство. Теплоноситель, Передача. Теплоноситель"&amp;", "&amp;INDEX(HEAT_PT_VED_NAME,MATCH(4190071,HEAT_PT_VED_ID,0))</f>
        <v>Производство. Теплоноситель, Передача. Теплоноситель, Сбыт. Теплоноситель</v>
      </c>
      <c r="H31" s="2361"/>
      <c r="I31" s="2361">
        <v>1</v>
      </c>
      <c r="J31" s="2371" t="s">
        <v>182</v>
      </c>
      <c r="K31" s="2026" t="s">
        <v>66</v>
      </c>
      <c r="L31" s="1964"/>
      <c r="M31" s="1964" t="s">
        <v>108</v>
      </c>
      <c r="N31" s="2369" t="str">
        <f>IF(Z31="","",INDEX(TERRITORY_MR_LIST,MATCH(Z31,TERRITORY_LIST_ID,0)))</f>
        <v>Территория 1</v>
      </c>
      <c r="O31" s="2026" t="s">
        <v>56</v>
      </c>
      <c r="P31" s="1964"/>
      <c r="Q31" s="1964" t="s">
        <v>108</v>
      </c>
      <c r="R31" s="2441" t="s">
        <v>24</v>
      </c>
      <c r="S31" s="1963" t="s">
        <v>56</v>
      </c>
      <c r="T31" s="1964"/>
      <c r="U31" s="1964" t="s">
        <v>108</v>
      </c>
      <c r="V31" s="2441" t="s">
        <v>24</v>
      </c>
      <c r="W31" s="2371"/>
      <c r="X31" s="1283"/>
      <c r="Y31" s="1283"/>
      <c r="Z31" s="1283" t="s">
        <v>97</v>
      </c>
      <c r="AA31" s="1283"/>
      <c r="AB31" s="1283" t="s">
        <v>183</v>
      </c>
      <c r="AC31" s="1283" t="s">
        <v>184</v>
      </c>
      <c r="AD31" s="1283" t="s">
        <v>185</v>
      </c>
      <c r="AE31" s="1283" t="s">
        <v>186</v>
      </c>
      <c r="AF31" s="1283" t="s">
        <v>187</v>
      </c>
      <c r="AG31" s="1283" t="s">
        <v>188</v>
      </c>
      <c r="AH31" s="1283" t="str">
        <f>IF($E$31=0,"",$E$31)</f>
        <v>Тарифы на теплоноситель, поставляемый теплоснабжающими организациями потребителям, другим теплоснабжающим организациям</v>
      </c>
      <c r="AI31" s="1283" t="str">
        <f>IF($G$31=0,"",$G$31)</f>
        <v>Производство. Теплоноситель, Передача. Теплоноситель, Сбыт. Теплоноситель</v>
      </c>
      <c r="AJ31" s="1283" t="str">
        <f>IF($J$31=0,"",$J$31)</f>
        <v>Тариф на теплоноситель, поставляемый обществом с ограниченной ответственностью "ПРОМ ИМПУЛЬС" потребителям, расположенным на территории Санкт-Петербурга</v>
      </c>
      <c r="AK31" s="1283" t="str">
        <f>IF($K$31="нет","без дифференциации",IF($N$31=0,"",$N$31))</f>
        <v>Территория 1</v>
      </c>
      <c r="AL31" s="1283" t="str">
        <f>IF($O$31="нет","без дифференциации",IF($R$31=0,"",$R$31))</f>
        <v>без дифференциации</v>
      </c>
      <c r="AM31" s="1283" t="str">
        <f>IF($S$31="нет","без дифференциации",IF($V$31=0,"",$V$31))</f>
        <v>без дифференциации</v>
      </c>
      <c r="AN31" s="1797">
        <f>$I$31</f>
        <v>1</v>
      </c>
      <c r="AO31" s="1283" t="str">
        <f>$I$31&amp;"."&amp;$M$31</f>
        <v>1.1</v>
      </c>
      <c r="AP31" s="1275" t="str">
        <f>$I$31&amp;"."&amp;$M$31&amp;"."&amp;$Q$31</f>
        <v>1.1.1</v>
      </c>
      <c r="AQ31" s="1275" t="str">
        <f>$I$31&amp;"."&amp;$M$31&amp;"."&amp;$Q$31&amp;"."&amp;$U$31</f>
        <v>1.1.1.1</v>
      </c>
    </row>
    <row s="1877" customFormat="1" customHeight="1" ht="17.25">
      <c r="A32" s="306"/>
      <c r="C32" s="305"/>
      <c r="D32" s="1973"/>
      <c r="E32" s="1975"/>
      <c r="F32" s="1978"/>
      <c r="G32" s="2440"/>
      <c r="H32" s="2361"/>
      <c r="I32" s="2361"/>
      <c r="J32" s="2371"/>
      <c r="K32" s="2027"/>
      <c r="L32" s="1964"/>
      <c r="M32" s="1964"/>
      <c r="N32" s="2369"/>
      <c r="O32" s="2027"/>
      <c r="P32" s="1964"/>
      <c r="Q32" s="1964"/>
      <c r="R32" s="2441" t="s">
        <v>24</v>
      </c>
      <c r="S32" s="1963"/>
      <c r="T32" s="2485"/>
      <c r="U32" s="2486"/>
      <c r="V32" s="2487" t="s">
        <v>166</v>
      </c>
      <c r="W32" s="2488"/>
      <c r="X32" s="1275"/>
      <c r="Y32" s="1275"/>
      <c r="Z32" s="1275"/>
      <c r="AA32" s="1275"/>
      <c r="AB32" s="1275"/>
      <c r="AC32" s="1275"/>
      <c r="AD32" s="1275"/>
      <c r="AE32" s="1275"/>
      <c r="AF32" s="1275"/>
      <c r="AG32" s="1275"/>
      <c r="AH32" s="1275"/>
      <c r="AI32" s="1275"/>
      <c r="AJ32" s="1275"/>
      <c r="AK32" s="1275"/>
      <c r="AL32" s="1275"/>
      <c r="AM32" s="1275"/>
      <c r="AN32" s="1275"/>
      <c r="AO32" s="1275"/>
      <c r="AP32" s="1275"/>
      <c r="AQ32" s="1275"/>
    </row>
    <row s="1877" customFormat="1" customHeight="1" ht="17.25">
      <c r="A33" s="306"/>
      <c r="C33" s="305"/>
      <c r="D33" s="1974"/>
      <c r="E33" s="1976"/>
      <c r="F33" s="1978"/>
      <c r="G33" s="2446"/>
      <c r="H33" s="2336"/>
      <c r="I33" s="2336"/>
      <c r="J33" s="2372"/>
      <c r="K33" s="2027"/>
      <c r="L33" s="2336"/>
      <c r="M33" s="2336"/>
      <c r="N33" s="2370"/>
      <c r="O33" s="1968"/>
      <c r="P33" s="2489"/>
      <c r="Q33" s="2490"/>
      <c r="R33" s="2491" t="s">
        <v>167</v>
      </c>
      <c r="S33" s="2492"/>
      <c r="T33" s="2493"/>
      <c r="U33" s="2494"/>
      <c r="V33" s="2495"/>
      <c r="W33" s="2496"/>
      <c r="X33" s="1275"/>
      <c r="Y33" s="1275"/>
      <c r="Z33" s="1275"/>
      <c r="AA33" s="1275"/>
      <c r="AB33" s="1275"/>
      <c r="AC33" s="1275"/>
      <c r="AD33" s="1275"/>
      <c r="AE33" s="1275"/>
      <c r="AF33" s="1275"/>
      <c r="AG33" s="1275"/>
      <c r="AH33" s="1275"/>
      <c r="AI33" s="1275"/>
      <c r="AJ33" s="1275"/>
      <c r="AK33" s="1275"/>
      <c r="AL33" s="1275"/>
      <c r="AM33" s="1275"/>
      <c r="AN33" s="1275"/>
      <c r="AO33" s="1275"/>
      <c r="AP33" s="1275"/>
      <c r="AQ33" s="1275"/>
    </row>
    <row s="1877" customFormat="1" customHeight="1" ht="17.25">
      <c r="A34" s="306"/>
      <c r="C34" s="305"/>
      <c r="D34" s="1974"/>
      <c r="E34" s="1976"/>
      <c r="F34" s="1978"/>
      <c r="G34" s="2446"/>
      <c r="H34" s="2336"/>
      <c r="I34" s="2336"/>
      <c r="J34" s="2372"/>
      <c r="K34" s="1968"/>
      <c r="L34" s="2497"/>
      <c r="M34" s="2498"/>
      <c r="N34" s="2499" t="s">
        <v>168</v>
      </c>
      <c r="O34" s="2500"/>
      <c r="P34" s="2501"/>
      <c r="Q34" s="2502"/>
      <c r="R34" s="2503"/>
      <c r="S34" s="2504"/>
      <c r="T34" s="2505"/>
      <c r="U34" s="2506"/>
      <c r="V34" s="2507"/>
      <c r="W34" s="2508"/>
      <c r="X34" s="1275"/>
      <c r="Y34" s="1275"/>
      <c r="Z34" s="1275"/>
      <c r="AA34" s="1275"/>
      <c r="AB34" s="1275"/>
      <c r="AC34" s="1275"/>
      <c r="AD34" s="1275"/>
      <c r="AE34" s="1275"/>
      <c r="AF34" s="1275"/>
      <c r="AG34" s="1275"/>
      <c r="AH34" s="1275"/>
      <c r="AI34" s="1275"/>
      <c r="AJ34" s="1275"/>
      <c r="AK34" s="1275"/>
      <c r="AL34" s="1275"/>
      <c r="AM34" s="1275"/>
      <c r="AN34" s="1275"/>
      <c r="AO34" s="1275"/>
      <c r="AP34" s="1275"/>
      <c r="AQ34" s="1275"/>
    </row>
    <row s="1877" customFormat="1" customHeight="1" ht="17.25">
      <c r="A35" s="306"/>
      <c r="C35" s="305"/>
      <c r="D35" s="1974"/>
      <c r="E35" s="1976"/>
      <c r="F35" s="1979"/>
      <c r="G35" s="2446"/>
      <c r="H35" s="2509"/>
      <c r="I35" s="2510"/>
      <c r="J35" s="2511" t="s">
        <v>180</v>
      </c>
      <c r="K35" s="2512"/>
      <c r="L35" s="2513"/>
      <c r="M35" s="2514"/>
      <c r="N35" s="2515"/>
      <c r="O35" s="2516"/>
      <c r="P35" s="2517"/>
      <c r="Q35" s="2518"/>
      <c r="R35" s="2519"/>
      <c r="S35" s="2520"/>
      <c r="T35" s="2521"/>
      <c r="U35" s="2522"/>
      <c r="V35" s="2523"/>
      <c r="W35" s="2524"/>
      <c r="X35" s="1275"/>
      <c r="Y35" s="1275"/>
      <c r="Z35" s="1275"/>
      <c r="AA35" s="1275"/>
      <c r="AB35" s="1275"/>
      <c r="AC35" s="1275"/>
      <c r="AD35" s="1275"/>
      <c r="AE35" s="1275"/>
      <c r="AF35" s="1275"/>
      <c r="AG35" s="1275"/>
      <c r="AH35" s="1275"/>
      <c r="AI35" s="1275"/>
      <c r="AJ35" s="1275"/>
      <c r="AK35" s="1275"/>
      <c r="AL35" s="1275"/>
      <c r="AM35" s="1275"/>
      <c r="AN35" s="1275"/>
      <c r="AO35" s="1275"/>
      <c r="AP35" s="1275"/>
      <c r="AQ35" s="1275"/>
    </row>
    <row s="1877" customFormat="1" customHeight="1" ht="17.25">
      <c r="A36" s="306"/>
      <c r="C36" s="188"/>
      <c r="D36" s="1973">
        <v>4</v>
      </c>
      <c r="E36" s="1975" t="s">
        <v>189</v>
      </c>
      <c r="F36" s="1977" t="s">
        <v>66</v>
      </c>
      <c r="G36" s="2440" t="str">
        <f>"Производство тепловой энергии. Некомбинированная выработка, Производство. Теплоноситель, Передача. Тепловая энергия, Передача. Теплоноситель, Сбыт. Тепловая энергия"&amp;", "&amp;INDEX(HEAT_PT_VED_NAME,MATCH(4190071,HEAT_PT_VED_ID,0))</f>
        <v>Производство тепловой энергии. Некомбинированная выработка, Производство. Теплоноситель, Передача. Тепловая энергия, Передача. Теплоноситель, Сбыт. Тепловая энергия, Сбыт. Теплоноситель</v>
      </c>
      <c r="H36" s="2361"/>
      <c r="I36" s="2361">
        <v>1</v>
      </c>
      <c r="J36" s="2371" t="s">
        <v>190</v>
      </c>
      <c r="K36" s="2026" t="s">
        <v>66</v>
      </c>
      <c r="L36" s="1964"/>
      <c r="M36" s="1964" t="s">
        <v>108</v>
      </c>
      <c r="N36" s="2369" t="str">
        <f>IF(Z36="","",INDEX(TERRITORY_MR_LIST,MATCH(Z36,TERRITORY_LIST_ID,0)))</f>
        <v>Территория 1</v>
      </c>
      <c r="O36" s="2026" t="s">
        <v>56</v>
      </c>
      <c r="P36" s="1964"/>
      <c r="Q36" s="1964" t="s">
        <v>108</v>
      </c>
      <c r="R36" s="2441" t="s">
        <v>24</v>
      </c>
      <c r="S36" s="1963" t="s">
        <v>56</v>
      </c>
      <c r="T36" s="1964"/>
      <c r="U36" s="1964" t="s">
        <v>108</v>
      </c>
      <c r="V36" s="2441" t="s">
        <v>24</v>
      </c>
      <c r="W36" s="2371"/>
      <c r="X36" s="1283"/>
      <c r="Y36" s="1283"/>
      <c r="Z36" s="1283" t="s">
        <v>97</v>
      </c>
      <c r="AA36" s="1283"/>
      <c r="AB36" s="1283" t="s">
        <v>191</v>
      </c>
      <c r="AC36" s="1283" t="s">
        <v>192</v>
      </c>
      <c r="AD36" s="1283" t="s">
        <v>193</v>
      </c>
      <c r="AE36" s="1283" t="s">
        <v>194</v>
      </c>
      <c r="AF36" s="1283" t="s">
        <v>195</v>
      </c>
      <c r="AG36" s="1283" t="s">
        <v>196</v>
      </c>
      <c r="AH36" s="1283" t="str">
        <f>IF($E$36=0,"",$E$36)</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6" s="1283" t="str">
        <f>IF($G$36=0,"",$G$36)</f>
        <v>Производство тепловой энергии. Некомбинированная выработка, Производство. Теплоноситель, Передача. Тепловая энергия, Передача. Теплоноситель, Сбыт. Тепловая энергия, Сбыт. Теплоноситель</v>
      </c>
      <c r="AJ36" s="1283" t="str">
        <f>IF($J$36=0,"",$J$36)</f>
        <v>Тариф на горячую воду (горячее водоснабжение), поставляемую обществом с ограниченной ответственностью "ПРОМ ИМПУЛЬС" в открытых системах теплоснабжения потребителям, расположенным на территории Санкт-Петербурга</v>
      </c>
      <c r="AK36" s="1283" t="str">
        <f>IF($K$36="нет","без дифференциации",IF($N$36=0,"",$N$36))</f>
        <v>Территория 1</v>
      </c>
      <c r="AL36" s="1283" t="str">
        <f>IF($O$36="нет","без дифференциации",IF($R$36=0,"",$R$36))</f>
        <v>без дифференциации</v>
      </c>
      <c r="AM36" s="1283" t="str">
        <f>IF($S$36="нет","без дифференциации",IF($V$36=0,"",$V$36))</f>
        <v>без дифференциации</v>
      </c>
      <c r="AN36" s="1797">
        <f>$I$36</f>
        <v>1</v>
      </c>
      <c r="AO36" s="1283" t="str">
        <f>$I$36&amp;"."&amp;$M$36</f>
        <v>1.1</v>
      </c>
      <c r="AP36" s="1275" t="str">
        <f>$I$36&amp;"."&amp;$M$36&amp;"."&amp;$Q$36</f>
        <v>1.1.1</v>
      </c>
      <c r="AQ36" s="1275" t="str">
        <f>$I$36&amp;"."&amp;$M$36&amp;"."&amp;$Q$36&amp;"."&amp;$U$36</f>
        <v>1.1.1.1</v>
      </c>
    </row>
    <row s="1877" customFormat="1" customHeight="1" ht="17.25">
      <c r="A37" s="306"/>
      <c r="C37" s="305"/>
      <c r="D37" s="1973"/>
      <c r="E37" s="1975"/>
      <c r="F37" s="1978"/>
      <c r="G37" s="2440"/>
      <c r="H37" s="2361"/>
      <c r="I37" s="2361"/>
      <c r="J37" s="2371"/>
      <c r="K37" s="2027"/>
      <c r="L37" s="1964"/>
      <c r="M37" s="1964"/>
      <c r="N37" s="2369"/>
      <c r="O37" s="2027"/>
      <c r="P37" s="1964"/>
      <c r="Q37" s="1964"/>
      <c r="R37" s="2441" t="s">
        <v>24</v>
      </c>
      <c r="S37" s="1963"/>
      <c r="T37" s="2525"/>
      <c r="U37" s="2526"/>
      <c r="V37" s="2527" t="s">
        <v>166</v>
      </c>
      <c r="W37" s="2528"/>
      <c r="X37" s="1275"/>
      <c r="Y37" s="1275"/>
      <c r="Z37" s="1275"/>
      <c r="AA37" s="1275"/>
      <c r="AB37" s="1275"/>
      <c r="AC37" s="1275"/>
      <c r="AD37" s="1275"/>
      <c r="AE37" s="1275"/>
      <c r="AF37" s="1275"/>
      <c r="AG37" s="1275"/>
      <c r="AH37" s="1275"/>
      <c r="AI37" s="1275"/>
      <c r="AJ37" s="1275"/>
      <c r="AK37" s="1275"/>
      <c r="AL37" s="1275"/>
      <c r="AM37" s="1275"/>
      <c r="AN37" s="1275"/>
      <c r="AO37" s="1275"/>
      <c r="AP37" s="1275"/>
      <c r="AQ37" s="1275"/>
    </row>
    <row s="1877" customFormat="1" customHeight="1" ht="17.25">
      <c r="A38" s="306"/>
      <c r="C38" s="305"/>
      <c r="D38" s="1974"/>
      <c r="E38" s="1976"/>
      <c r="F38" s="1978"/>
      <c r="G38" s="2446"/>
      <c r="H38" s="2336"/>
      <c r="I38" s="2336"/>
      <c r="J38" s="2372"/>
      <c r="K38" s="2027"/>
      <c r="L38" s="2336"/>
      <c r="M38" s="2336"/>
      <c r="N38" s="2370"/>
      <c r="O38" s="1968"/>
      <c r="P38" s="2529"/>
      <c r="Q38" s="2530"/>
      <c r="R38" s="2531" t="s">
        <v>167</v>
      </c>
      <c r="S38" s="2532"/>
      <c r="T38" s="2533"/>
      <c r="U38" s="2534"/>
      <c r="V38" s="2535"/>
      <c r="W38" s="2536"/>
      <c r="X38" s="1275"/>
      <c r="Y38" s="1275"/>
      <c r="Z38" s="1275"/>
      <c r="AA38" s="1275"/>
      <c r="AB38" s="1275"/>
      <c r="AC38" s="1275"/>
      <c r="AD38" s="1275"/>
      <c r="AE38" s="1275"/>
      <c r="AF38" s="1275"/>
      <c r="AG38" s="1275"/>
      <c r="AH38" s="1275"/>
      <c r="AI38" s="1275"/>
      <c r="AJ38" s="1275"/>
      <c r="AK38" s="1275"/>
      <c r="AL38" s="1275"/>
      <c r="AM38" s="1275"/>
      <c r="AN38" s="1275"/>
      <c r="AO38" s="1275"/>
      <c r="AP38" s="1275"/>
      <c r="AQ38" s="1275"/>
    </row>
    <row s="1877" customFormat="1" customHeight="1" ht="17.25">
      <c r="A39" s="306"/>
      <c r="C39" s="305"/>
      <c r="D39" s="1974"/>
      <c r="E39" s="1976"/>
      <c r="F39" s="1978"/>
      <c r="G39" s="2446"/>
      <c r="H39" s="2336"/>
      <c r="I39" s="2336"/>
      <c r="J39" s="2372"/>
      <c r="K39" s="1968"/>
      <c r="L39" s="2537"/>
      <c r="M39" s="2538"/>
      <c r="N39" s="2539" t="s">
        <v>168</v>
      </c>
      <c r="O39" s="2540"/>
      <c r="P39" s="2541"/>
      <c r="Q39" s="2542"/>
      <c r="R39" s="2543"/>
      <c r="S39" s="2544"/>
      <c r="T39" s="2545"/>
      <c r="U39" s="2546"/>
      <c r="V39" s="2547"/>
      <c r="W39" s="2548"/>
      <c r="X39" s="1275"/>
      <c r="Y39" s="1275"/>
      <c r="Z39" s="1275"/>
      <c r="AA39" s="1275"/>
      <c r="AB39" s="1275"/>
      <c r="AC39" s="1275"/>
      <c r="AD39" s="1275"/>
      <c r="AE39" s="1275"/>
      <c r="AF39" s="1275"/>
      <c r="AG39" s="1275"/>
      <c r="AH39" s="1275"/>
      <c r="AI39" s="1275"/>
      <c r="AJ39" s="1275"/>
      <c r="AK39" s="1275"/>
      <c r="AL39" s="1275"/>
      <c r="AM39" s="1275"/>
      <c r="AN39" s="1275"/>
      <c r="AO39" s="1275"/>
      <c r="AP39" s="1275"/>
      <c r="AQ39" s="1275"/>
    </row>
    <row s="1877" customFormat="1" customHeight="1" ht="17.25">
      <c r="A40" s="306"/>
      <c r="C40" s="305"/>
      <c r="D40" s="1974"/>
      <c r="E40" s="1976"/>
      <c r="F40" s="1979"/>
      <c r="G40" s="2446"/>
      <c r="H40" s="2549"/>
      <c r="I40" s="2550"/>
      <c r="J40" s="2551" t="s">
        <v>180</v>
      </c>
      <c r="K40" s="2552"/>
      <c r="L40" s="2553"/>
      <c r="M40" s="2554"/>
      <c r="N40" s="2555"/>
      <c r="O40" s="2556"/>
      <c r="P40" s="2557"/>
      <c r="Q40" s="2558"/>
      <c r="R40" s="2559"/>
      <c r="S40" s="2560"/>
      <c r="T40" s="2561"/>
      <c r="U40" s="2562"/>
      <c r="V40" s="2563"/>
      <c r="W40" s="2564"/>
      <c r="X40" s="1275"/>
      <c r="Y40" s="1275"/>
      <c r="Z40" s="1275"/>
      <c r="AA40" s="1275"/>
      <c r="AB40" s="1275"/>
      <c r="AC40" s="1275"/>
      <c r="AD40" s="1275"/>
      <c r="AE40" s="1275"/>
      <c r="AF40" s="1275"/>
      <c r="AG40" s="1275"/>
      <c r="AH40" s="1275"/>
      <c r="AI40" s="1275"/>
      <c r="AJ40" s="1275"/>
      <c r="AK40" s="1275"/>
      <c r="AL40" s="1275"/>
      <c r="AM40" s="1275"/>
      <c r="AN40" s="1275"/>
      <c r="AO40" s="1275"/>
      <c r="AP40" s="1275"/>
      <c r="AQ40" s="1275"/>
    </row>
    <row s="1877" customFormat="1" customHeight="1" ht="17.25">
      <c r="A41" s="306"/>
      <c r="C41" s="188"/>
      <c r="D41" s="1973">
        <v>5</v>
      </c>
      <c r="E41" s="1975" t="s">
        <v>197</v>
      </c>
      <c r="F41" s="1977" t="s">
        <v>56</v>
      </c>
      <c r="G41" s="1975"/>
      <c r="H41" s="1980"/>
      <c r="I41" s="1982"/>
      <c r="J41" s="1984"/>
      <c r="K41" s="1971"/>
      <c r="L41" s="1971"/>
      <c r="M41" s="1971"/>
      <c r="N41" s="1987"/>
      <c r="O41" s="1971"/>
      <c r="P41" s="1971"/>
      <c r="Q41" s="1971"/>
      <c r="R41" s="1990"/>
      <c r="S41" s="1971"/>
      <c r="T41" s="1437"/>
      <c r="U41" s="1437"/>
      <c r="V41" s="1436"/>
      <c r="W41" s="1313"/>
      <c r="X41" s="1283"/>
      <c r="Y41" s="1283"/>
      <c r="Z41" s="1283"/>
      <c r="AA41" s="1283"/>
      <c r="AB41" s="1283"/>
      <c r="AC41" s="1283" t="s">
        <v>198</v>
      </c>
      <c r="AD41" s="1283" t="s">
        <v>199</v>
      </c>
      <c r="AE41" s="1283" t="s">
        <v>200</v>
      </c>
      <c r="AF41" s="1283" t="s">
        <v>201</v>
      </c>
      <c r="AG41" s="1283" t="s">
        <v>202</v>
      </c>
      <c r="AH41" s="1283" t="str">
        <f>IF($E$41=0,"",$E$41)</f>
        <v>Тарифы на услуги по передаче тепловой энергии</v>
      </c>
      <c r="AI41" s="1283" t="str">
        <f>IF($G$41=0,"",$G$41)</f>
        <v/>
      </c>
      <c r="AJ41" s="1283" t="str">
        <f>IF($J$41=0,"",$J$41)</f>
        <v/>
      </c>
      <c r="AK41" s="1283" t="str">
        <f>IF($K$41="нет","без дифференциации",IF($N$41=0,"",$N$41))</f>
        <v/>
      </c>
      <c r="AL41" s="1283" t="str">
        <f>IF($O$41="нет","без дифференциации",IF($R$41=0,"",$R$41))</f>
        <v/>
      </c>
      <c r="AM41" s="1283" t="str">
        <f>IF($S$41="нет","без дифференциации",IF($V$41=0,"",$V$41))</f>
        <v/>
      </c>
      <c r="AN41" s="1797">
        <f>$I$41</f>
        <v>0</v>
      </c>
      <c r="AO41" s="1283" t="str">
        <f>$I$41&amp;"."&amp;$M$41</f>
        <v>.</v>
      </c>
      <c r="AP41" s="1275" t="str">
        <f>$I$41&amp;"."&amp;$M$41&amp;"."&amp;$Q$41</f>
        <v>..</v>
      </c>
      <c r="AQ41" s="1275" t="str">
        <f>$I$41&amp;"."&amp;$M$41&amp;"."&amp;$Q$41&amp;"."&amp;$U$41</f>
        <v>...</v>
      </c>
    </row>
    <row s="1877" customFormat="1" customHeight="1" ht="17.25">
      <c r="A42" s="306"/>
      <c r="C42" s="305"/>
      <c r="D42" s="1973"/>
      <c r="E42" s="1975"/>
      <c r="F42" s="1978"/>
      <c r="G42" s="1975"/>
      <c r="H42" s="1981"/>
      <c r="I42" s="1983"/>
      <c r="J42" s="1985"/>
      <c r="K42" s="1972"/>
      <c r="L42" s="1972"/>
      <c r="M42" s="1972"/>
      <c r="N42" s="1988"/>
      <c r="O42" s="1972"/>
      <c r="P42" s="1972"/>
      <c r="Q42" s="1972"/>
      <c r="R42" s="1989"/>
      <c r="S42" s="1972"/>
      <c r="T42" s="1314"/>
      <c r="U42" s="1314"/>
      <c r="V42" s="1314"/>
      <c r="W42" s="1315"/>
      <c r="X42" s="1275"/>
      <c r="Y42" s="1275"/>
      <c r="Z42" s="1275"/>
      <c r="AA42" s="1275"/>
      <c r="AB42" s="1275"/>
      <c r="AC42" s="1275"/>
      <c r="AD42" s="1275"/>
      <c r="AE42" s="1275"/>
      <c r="AF42" s="1275"/>
      <c r="AG42" s="1275"/>
      <c r="AH42" s="1275"/>
      <c r="AI42" s="1275"/>
      <c r="AJ42" s="1275"/>
      <c r="AK42" s="1275"/>
      <c r="AL42" s="1275"/>
      <c r="AM42" s="1275"/>
      <c r="AN42" s="1275"/>
      <c r="AO42" s="1275"/>
      <c r="AP42" s="1275"/>
      <c r="AQ42" s="1275"/>
    </row>
    <row s="1877" customFormat="1" customHeight="1" ht="17.25">
      <c r="A43" s="306"/>
      <c r="C43" s="305"/>
      <c r="D43" s="1974"/>
      <c r="E43" s="1976"/>
      <c r="F43" s="1978"/>
      <c r="G43" s="1976"/>
      <c r="H43" s="1981"/>
      <c r="I43" s="1983"/>
      <c r="J43" s="1986"/>
      <c r="K43" s="1972"/>
      <c r="L43" s="1972"/>
      <c r="M43" s="1972"/>
      <c r="N43" s="1989"/>
      <c r="O43" s="1972"/>
      <c r="P43" s="1435"/>
      <c r="Q43" s="1314"/>
      <c r="R43" s="1314"/>
      <c r="S43" s="317"/>
      <c r="T43" s="317"/>
      <c r="U43" s="317"/>
      <c r="V43" s="317"/>
      <c r="W43" s="1315"/>
      <c r="X43" s="1275"/>
      <c r="Y43" s="1275"/>
      <c r="Z43" s="1275"/>
      <c r="AA43" s="1275"/>
      <c r="AB43" s="1275"/>
      <c r="AC43" s="1275"/>
      <c r="AD43" s="1275"/>
      <c r="AE43" s="1275"/>
      <c r="AF43" s="1275"/>
      <c r="AG43" s="1275"/>
      <c r="AH43" s="1275"/>
      <c r="AI43" s="1275"/>
      <c r="AJ43" s="1275"/>
      <c r="AK43" s="1275"/>
      <c r="AL43" s="1275"/>
      <c r="AM43" s="1275"/>
      <c r="AN43" s="1275"/>
      <c r="AO43" s="1275"/>
      <c r="AP43" s="1275"/>
      <c r="AQ43" s="1275"/>
    </row>
    <row s="1877" customFormat="1" customHeight="1" ht="17.25">
      <c r="A44" s="306"/>
      <c r="C44" s="305"/>
      <c r="D44" s="1974"/>
      <c r="E44" s="1976"/>
      <c r="F44" s="1978"/>
      <c r="G44" s="1976"/>
      <c r="H44" s="1981"/>
      <c r="I44" s="1983"/>
      <c r="J44" s="1986"/>
      <c r="K44" s="1972"/>
      <c r="L44" s="1314"/>
      <c r="M44" s="1314"/>
      <c r="N44" s="1314"/>
      <c r="O44" s="1314"/>
      <c r="P44" s="1314"/>
      <c r="Q44" s="1314"/>
      <c r="R44" s="1314"/>
      <c r="S44" s="317"/>
      <c r="T44" s="317"/>
      <c r="U44" s="317"/>
      <c r="V44" s="317"/>
      <c r="W44" s="1315"/>
      <c r="X44" s="1275"/>
      <c r="Y44" s="1275"/>
      <c r="Z44" s="1275"/>
      <c r="AA44" s="1275"/>
      <c r="AB44" s="1275"/>
      <c r="AC44" s="1275"/>
      <c r="AD44" s="1275"/>
      <c r="AE44" s="1275"/>
      <c r="AF44" s="1275"/>
      <c r="AG44" s="1275"/>
      <c r="AH44" s="1275"/>
      <c r="AI44" s="1275"/>
      <c r="AJ44" s="1275"/>
      <c r="AK44" s="1275"/>
      <c r="AL44" s="1275"/>
      <c r="AM44" s="1275"/>
      <c r="AN44" s="1275"/>
      <c r="AO44" s="1275"/>
      <c r="AP44" s="1275"/>
      <c r="AQ44" s="1275"/>
    </row>
    <row s="1877" customFormat="1" customHeight="1" ht="17.25">
      <c r="A45" s="306"/>
      <c r="C45" s="305"/>
      <c r="D45" s="1974"/>
      <c r="E45" s="1976"/>
      <c r="F45" s="1979"/>
      <c r="G45" s="1976"/>
      <c r="H45" s="1316"/>
      <c r="I45" s="1317"/>
      <c r="J45" s="1317"/>
      <c r="K45" s="1317"/>
      <c r="L45" s="1317"/>
      <c r="M45" s="1317"/>
      <c r="N45" s="1317"/>
      <c r="O45" s="1317"/>
      <c r="P45" s="1317"/>
      <c r="Q45" s="1317"/>
      <c r="R45" s="1317"/>
      <c r="S45" s="1318"/>
      <c r="T45" s="1318"/>
      <c r="U45" s="1318"/>
      <c r="V45" s="1318"/>
      <c r="W45" s="1319"/>
      <c r="X45" s="1275"/>
      <c r="Y45" s="1275"/>
      <c r="Z45" s="1275"/>
      <c r="AA45" s="1275"/>
      <c r="AB45" s="1275"/>
      <c r="AC45" s="1275"/>
      <c r="AD45" s="1275"/>
      <c r="AE45" s="1275"/>
      <c r="AF45" s="1275"/>
      <c r="AG45" s="1275"/>
      <c r="AH45" s="1275"/>
      <c r="AI45" s="1275"/>
      <c r="AJ45" s="1275"/>
      <c r="AK45" s="1275"/>
      <c r="AL45" s="1275"/>
      <c r="AM45" s="1275"/>
      <c r="AN45" s="1275"/>
      <c r="AO45" s="1275"/>
      <c r="AP45" s="1275"/>
      <c r="AQ45" s="1275"/>
    </row>
    <row s="1877" customFormat="1" customHeight="1" ht="17.25">
      <c r="A46" s="306"/>
      <c r="C46" s="188"/>
      <c r="D46" s="1973">
        <v>6</v>
      </c>
      <c r="E46" s="1975" t="s">
        <v>203</v>
      </c>
      <c r="F46" s="1977" t="s">
        <v>56</v>
      </c>
      <c r="G46" s="1975"/>
      <c r="H46" s="1980"/>
      <c r="I46" s="1982"/>
      <c r="J46" s="1984"/>
      <c r="K46" s="1971"/>
      <c r="L46" s="1971"/>
      <c r="M46" s="1971"/>
      <c r="N46" s="1987"/>
      <c r="O46" s="1971"/>
      <c r="P46" s="1971"/>
      <c r="Q46" s="1971"/>
      <c r="R46" s="1990"/>
      <c r="S46" s="1971"/>
      <c r="T46" s="1437"/>
      <c r="U46" s="1437"/>
      <c r="V46" s="1436"/>
      <c r="W46" s="1313"/>
      <c r="X46" s="1283"/>
      <c r="Y46" s="1283"/>
      <c r="Z46" s="1283"/>
      <c r="AA46" s="1283"/>
      <c r="AB46" s="1283"/>
      <c r="AC46" s="1283" t="s">
        <v>204</v>
      </c>
      <c r="AD46" s="1283" t="s">
        <v>205</v>
      </c>
      <c r="AE46" s="1283" t="s">
        <v>206</v>
      </c>
      <c r="AF46" s="1283" t="s">
        <v>207</v>
      </c>
      <c r="AG46" s="1283" t="s">
        <v>208</v>
      </c>
      <c r="AH46" s="1283" t="str">
        <f>IF($E$46=0,"",$E$46)</f>
        <v>Тарифы на услуги по передаче теплоносителя</v>
      </c>
      <c r="AI46" s="1283" t="str">
        <f>IF($G$46=0,"",$G$46)</f>
        <v/>
      </c>
      <c r="AJ46" s="1283" t="str">
        <f>IF($J$46=0,"",$J$46)</f>
        <v/>
      </c>
      <c r="AK46" s="1283" t="str">
        <f>IF($K$46="нет","без дифференциации",IF($N$46=0,"",$N$46))</f>
        <v/>
      </c>
      <c r="AL46" s="1283" t="str">
        <f>IF($O$46="нет","без дифференциации",IF($R$46=0,"",$R$46))</f>
        <v/>
      </c>
      <c r="AM46" s="1283" t="str">
        <f>IF($S$46="нет","без дифференциации",IF($V$46=0,"",$V$46))</f>
        <v/>
      </c>
      <c r="AN46" s="1797">
        <f>$I$46</f>
        <v>0</v>
      </c>
      <c r="AO46" s="1283" t="str">
        <f>$I$46&amp;"."&amp;$M$46</f>
        <v>.</v>
      </c>
      <c r="AP46" s="1275" t="str">
        <f>$I$46&amp;"."&amp;$M$46&amp;"."&amp;$Q$46</f>
        <v>..</v>
      </c>
      <c r="AQ46" s="1275" t="str">
        <f>$I$46&amp;"."&amp;$M$46&amp;"."&amp;$Q$46&amp;"."&amp;$U$46</f>
        <v>...</v>
      </c>
    </row>
    <row s="1877" customFormat="1" customHeight="1" ht="17.25">
      <c r="A47" s="306"/>
      <c r="C47" s="305"/>
      <c r="D47" s="1973"/>
      <c r="E47" s="1975"/>
      <c r="F47" s="1978"/>
      <c r="G47" s="1975"/>
      <c r="H47" s="1981"/>
      <c r="I47" s="1983"/>
      <c r="J47" s="1985"/>
      <c r="K47" s="1972"/>
      <c r="L47" s="1972"/>
      <c r="M47" s="1972"/>
      <c r="N47" s="1988"/>
      <c r="O47" s="1972"/>
      <c r="P47" s="1972"/>
      <c r="Q47" s="1972"/>
      <c r="R47" s="1989"/>
      <c r="S47" s="1972"/>
      <c r="T47" s="1314"/>
      <c r="U47" s="1314"/>
      <c r="V47" s="1314"/>
      <c r="W47" s="1315"/>
      <c r="X47" s="1275"/>
      <c r="Y47" s="1275"/>
      <c r="Z47" s="1275"/>
      <c r="AA47" s="1275"/>
      <c r="AB47" s="1275"/>
      <c r="AC47" s="1275"/>
      <c r="AD47" s="1275"/>
      <c r="AE47" s="1275"/>
      <c r="AF47" s="1275"/>
      <c r="AG47" s="1275"/>
      <c r="AH47" s="1275"/>
      <c r="AI47" s="1275"/>
      <c r="AJ47" s="1275"/>
      <c r="AK47" s="1275"/>
      <c r="AL47" s="1275"/>
      <c r="AM47" s="1275"/>
      <c r="AN47" s="1275"/>
      <c r="AO47" s="1275"/>
      <c r="AP47" s="1275"/>
      <c r="AQ47" s="1275"/>
    </row>
    <row s="1877" customFormat="1" customHeight="1" ht="17.25">
      <c r="A48" s="306"/>
      <c r="C48" s="305"/>
      <c r="D48" s="1974"/>
      <c r="E48" s="1976"/>
      <c r="F48" s="1978"/>
      <c r="G48" s="1976"/>
      <c r="H48" s="1981"/>
      <c r="I48" s="1983"/>
      <c r="J48" s="1986"/>
      <c r="K48" s="1972"/>
      <c r="L48" s="1972"/>
      <c r="M48" s="1972"/>
      <c r="N48" s="1989"/>
      <c r="O48" s="1972"/>
      <c r="P48" s="1435"/>
      <c r="Q48" s="1314"/>
      <c r="R48" s="1314"/>
      <c r="S48" s="317"/>
      <c r="T48" s="317"/>
      <c r="U48" s="317"/>
      <c r="V48" s="317"/>
      <c r="W48" s="1315"/>
      <c r="X48" s="1275"/>
      <c r="Y48" s="1275"/>
      <c r="Z48" s="1275"/>
      <c r="AA48" s="1275"/>
      <c r="AB48" s="1275"/>
      <c r="AC48" s="1275"/>
      <c r="AD48" s="1275"/>
      <c r="AE48" s="1275"/>
      <c r="AF48" s="1275"/>
      <c r="AG48" s="1275"/>
      <c r="AH48" s="1275"/>
      <c r="AI48" s="1275"/>
      <c r="AJ48" s="1275"/>
      <c r="AK48" s="1275"/>
      <c r="AL48" s="1275"/>
      <c r="AM48" s="1275"/>
      <c r="AN48" s="1275"/>
      <c r="AO48" s="1275"/>
      <c r="AP48" s="1275"/>
      <c r="AQ48" s="1275"/>
    </row>
    <row s="1877" customFormat="1" customHeight="1" ht="17.25">
      <c r="A49" s="306"/>
      <c r="C49" s="188"/>
      <c r="D49" s="1974"/>
      <c r="E49" s="1976"/>
      <c r="F49" s="1978"/>
      <c r="G49" s="1976"/>
      <c r="H49" s="1981"/>
      <c r="I49" s="1983"/>
      <c r="J49" s="1986"/>
      <c r="K49" s="1972"/>
      <c r="L49" s="1314"/>
      <c r="M49" s="1314"/>
      <c r="N49" s="1314"/>
      <c r="O49" s="1314"/>
      <c r="P49" s="1314"/>
      <c r="Q49" s="1314"/>
      <c r="R49" s="1314"/>
      <c r="S49" s="317"/>
      <c r="T49" s="317"/>
      <c r="U49" s="317"/>
      <c r="V49" s="317"/>
      <c r="W49" s="1315"/>
      <c r="Y49" s="1283"/>
      <c r="Z49" s="1283"/>
      <c r="AA49" s="1283"/>
      <c r="AB49" s="1283"/>
      <c r="AC49" s="1283"/>
      <c r="AD49" s="1283"/>
      <c r="AE49" s="1283"/>
      <c r="AF49" s="1283"/>
      <c r="AG49" s="1283"/>
      <c r="AH49" s="1283"/>
      <c r="AI49" s="1283"/>
      <c r="AJ49" s="1283"/>
      <c r="AK49" s="1283"/>
      <c r="AL49" s="1283"/>
      <c r="AM49" s="1283"/>
      <c r="AN49" s="1283"/>
      <c r="AO49" s="1283"/>
      <c r="AP49" s="1283"/>
      <c r="AQ49" s="1283"/>
    </row>
    <row s="1877" customFormat="1" customHeight="1" ht="17.25">
      <c r="A50" s="306"/>
      <c r="C50" s="305"/>
      <c r="D50" s="1974"/>
      <c r="E50" s="1976"/>
      <c r="F50" s="1979"/>
      <c r="G50" s="1976"/>
      <c r="H50" s="1316"/>
      <c r="I50" s="1317"/>
      <c r="J50" s="1317"/>
      <c r="K50" s="1317"/>
      <c r="L50" s="1317"/>
      <c r="M50" s="1317"/>
      <c r="N50" s="1317"/>
      <c r="O50" s="1317"/>
      <c r="P50" s="1317"/>
      <c r="Q50" s="1317"/>
      <c r="R50" s="1317"/>
      <c r="S50" s="1318"/>
      <c r="T50" s="1318"/>
      <c r="U50" s="1318"/>
      <c r="V50" s="1318"/>
      <c r="W50" s="1319"/>
      <c r="X50" s="1275"/>
      <c r="Y50" s="1275"/>
      <c r="Z50" s="1275"/>
      <c r="AA50" s="1275"/>
      <c r="AB50" s="1275"/>
      <c r="AC50" s="1275"/>
      <c r="AD50" s="1275"/>
      <c r="AE50" s="1275"/>
      <c r="AF50" s="1275"/>
      <c r="AG50" s="1275"/>
      <c r="AH50" s="1275"/>
      <c r="AI50" s="1275"/>
      <c r="AJ50" s="1275"/>
      <c r="AK50" s="1275"/>
      <c r="AL50" s="1275"/>
      <c r="AM50" s="1275"/>
      <c r="AN50" s="1275"/>
      <c r="AO50" s="1275"/>
      <c r="AP50" s="1275"/>
      <c r="AQ50" s="1275"/>
    </row>
    <row s="1877" customFormat="1" customHeight="1" ht="17.25">
      <c r="A51" s="306"/>
      <c r="C51" s="188"/>
      <c r="D51" s="1994">
        <v>7</v>
      </c>
      <c r="E51" s="1997" t="s">
        <v>209</v>
      </c>
      <c r="F51" s="1977" t="s">
        <v>56</v>
      </c>
      <c r="G51" s="1997"/>
      <c r="H51" s="1980"/>
      <c r="I51" s="1982"/>
      <c r="J51" s="1984"/>
      <c r="K51" s="1971"/>
      <c r="L51" s="1971"/>
      <c r="M51" s="1971"/>
      <c r="N51" s="1987"/>
      <c r="O51" s="1971"/>
      <c r="P51" s="1971"/>
      <c r="Q51" s="1971"/>
      <c r="R51" s="1990"/>
      <c r="S51" s="1971"/>
      <c r="T51" s="1437"/>
      <c r="U51" s="1437"/>
      <c r="V51" s="1436"/>
      <c r="W51" s="1313"/>
      <c r="X51" s="1283"/>
      <c r="Y51" s="1283"/>
      <c r="Z51" s="1283"/>
      <c r="AA51" s="1283"/>
      <c r="AB51" s="1283"/>
      <c r="AC51" s="1283" t="s">
        <v>210</v>
      </c>
      <c r="AD51" s="1283" t="s">
        <v>211</v>
      </c>
      <c r="AE51" s="1283" t="s">
        <v>212</v>
      </c>
      <c r="AF51" s="1283" t="s">
        <v>213</v>
      </c>
      <c r="AG51" s="1283" t="s">
        <v>214</v>
      </c>
      <c r="AH51" s="1283" t="str">
        <f>IF($E$51=0,"",$E$51)</f>
        <v>Плата за услуги по поддержанию резервной тепловой мощности при отсутствии потребления тепловой энергии</v>
      </c>
      <c r="AI51" s="1283" t="str">
        <f>IF($G$51=0,"",$G$51)</f>
        <v/>
      </c>
      <c r="AJ51" s="1283" t="str">
        <f>IF($J$51=0,"",$J$51)</f>
        <v/>
      </c>
      <c r="AK51" s="1283" t="str">
        <f>IF($K$51="нет","без дифференциации",IF($N$51=0,"",$N$51))</f>
        <v/>
      </c>
      <c r="AL51" s="1283" t="str">
        <f>IF($O$51="нет","без дифференциации",IF($R$51=0,"",$R$51))</f>
        <v/>
      </c>
      <c r="AM51" s="1283" t="str">
        <f>IF($S$51="нет","без дифференциации",IF($V$51=0,"",$V$51))</f>
        <v/>
      </c>
      <c r="AN51" s="1797">
        <f>$I$51</f>
        <v>0</v>
      </c>
      <c r="AO51" s="1283" t="str">
        <f>$I$51&amp;"."&amp;$M$51</f>
        <v>.</v>
      </c>
      <c r="AP51" s="1275" t="str">
        <f>$I$51&amp;"."&amp;$M$51&amp;"."&amp;$Q$51</f>
        <v>..</v>
      </c>
      <c r="AQ51" s="1275" t="str">
        <f>$I$51&amp;"."&amp;$M$51&amp;"."&amp;$Q$51&amp;"."&amp;$U$51</f>
        <v>...</v>
      </c>
    </row>
    <row s="1877" customFormat="1" customHeight="1" ht="17.25">
      <c r="A52" s="306"/>
      <c r="C52" s="305"/>
      <c r="D52" s="1995"/>
      <c r="E52" s="1998"/>
      <c r="F52" s="1978"/>
      <c r="G52" s="1998"/>
      <c r="H52" s="1981"/>
      <c r="I52" s="1983"/>
      <c r="J52" s="1985"/>
      <c r="K52" s="1972"/>
      <c r="L52" s="1972"/>
      <c r="M52" s="1972"/>
      <c r="N52" s="1988"/>
      <c r="O52" s="1972"/>
      <c r="P52" s="1972"/>
      <c r="Q52" s="1972"/>
      <c r="R52" s="1989"/>
      <c r="S52" s="1972"/>
      <c r="T52" s="1314"/>
      <c r="U52" s="1314"/>
      <c r="V52" s="1314"/>
      <c r="W52" s="1315"/>
      <c r="X52" s="1275"/>
      <c r="Y52" s="1275"/>
      <c r="Z52" s="1275"/>
      <c r="AA52" s="1275"/>
      <c r="AB52" s="1275"/>
      <c r="AC52" s="1275"/>
      <c r="AD52" s="1275"/>
      <c r="AE52" s="1275"/>
      <c r="AF52" s="1275"/>
      <c r="AG52" s="1275"/>
      <c r="AH52" s="1275"/>
      <c r="AI52" s="1275"/>
      <c r="AJ52" s="1275"/>
      <c r="AK52" s="1275"/>
      <c r="AL52" s="1275"/>
      <c r="AM52" s="1275"/>
      <c r="AN52" s="1275"/>
      <c r="AO52" s="1275"/>
      <c r="AP52" s="1275"/>
      <c r="AQ52" s="1275"/>
    </row>
    <row s="1877" customFormat="1" customHeight="1" ht="17.25">
      <c r="A53" s="306"/>
      <c r="C53" s="305"/>
      <c r="D53" s="1995"/>
      <c r="E53" s="1998"/>
      <c r="F53" s="1978"/>
      <c r="G53" s="1998"/>
      <c r="H53" s="1981"/>
      <c r="I53" s="1983"/>
      <c r="J53" s="1986"/>
      <c r="K53" s="1972"/>
      <c r="L53" s="1972"/>
      <c r="M53" s="1972"/>
      <c r="N53" s="1989"/>
      <c r="O53" s="1972"/>
      <c r="P53" s="1435"/>
      <c r="Q53" s="1314"/>
      <c r="R53" s="1314"/>
      <c r="S53" s="317"/>
      <c r="T53" s="317"/>
      <c r="U53" s="317"/>
      <c r="V53" s="317"/>
      <c r="W53" s="1315"/>
      <c r="X53" s="1275"/>
      <c r="Y53" s="1275"/>
      <c r="Z53" s="1275"/>
      <c r="AA53" s="1275"/>
      <c r="AB53" s="1275"/>
      <c r="AC53" s="1275"/>
      <c r="AD53" s="1275"/>
      <c r="AE53" s="1275"/>
      <c r="AF53" s="1275"/>
      <c r="AG53" s="1275"/>
      <c r="AH53" s="1275"/>
      <c r="AI53" s="1275"/>
      <c r="AJ53" s="1275"/>
      <c r="AK53" s="1275"/>
      <c r="AL53" s="1275"/>
      <c r="AM53" s="1275"/>
      <c r="AN53" s="1275"/>
      <c r="AO53" s="1275"/>
      <c r="AP53" s="1275"/>
      <c r="AQ53" s="1275"/>
    </row>
    <row s="1877" customFormat="1" customHeight="1" ht="17.25">
      <c r="A54" s="306"/>
      <c r="C54" s="188"/>
      <c r="D54" s="1995"/>
      <c r="E54" s="1998"/>
      <c r="F54" s="1978"/>
      <c r="G54" s="1998"/>
      <c r="H54" s="1981"/>
      <c r="I54" s="1983"/>
      <c r="J54" s="1986"/>
      <c r="K54" s="1972"/>
      <c r="L54" s="1314"/>
      <c r="M54" s="1314"/>
      <c r="N54" s="1314"/>
      <c r="O54" s="1314"/>
      <c r="P54" s="1314"/>
      <c r="Q54" s="1314"/>
      <c r="R54" s="1314"/>
      <c r="S54" s="317"/>
      <c r="T54" s="317"/>
      <c r="U54" s="317"/>
      <c r="V54" s="317"/>
      <c r="W54" s="1315"/>
      <c r="Y54" s="1283"/>
      <c r="Z54" s="1283"/>
      <c r="AA54" s="1283"/>
      <c r="AB54" s="1283"/>
      <c r="AC54" s="1283"/>
      <c r="AD54" s="1283"/>
      <c r="AE54" s="1283"/>
      <c r="AF54" s="1283"/>
      <c r="AG54" s="1283"/>
      <c r="AH54" s="1283"/>
      <c r="AI54" s="1283"/>
      <c r="AJ54" s="1283"/>
      <c r="AK54" s="1283"/>
      <c r="AL54" s="1283"/>
      <c r="AM54" s="1283"/>
      <c r="AN54" s="1283"/>
      <c r="AO54" s="1283"/>
      <c r="AP54" s="1283"/>
      <c r="AQ54" s="1283"/>
    </row>
    <row s="1877" customFormat="1" customHeight="1" ht="17.25">
      <c r="A55" s="306"/>
      <c r="C55" s="305"/>
      <c r="D55" s="1996"/>
      <c r="E55" s="1999"/>
      <c r="F55" s="1979"/>
      <c r="G55" s="1999"/>
      <c r="H55" s="1316"/>
      <c r="I55" s="1317"/>
      <c r="J55" s="1317"/>
      <c r="K55" s="1317"/>
      <c r="L55" s="1317"/>
      <c r="M55" s="1317"/>
      <c r="N55" s="1317"/>
      <c r="O55" s="1317"/>
      <c r="P55" s="1317"/>
      <c r="Q55" s="1317"/>
      <c r="R55" s="1317"/>
      <c r="S55" s="1318"/>
      <c r="T55" s="1318"/>
      <c r="U55" s="1318"/>
      <c r="V55" s="1318"/>
      <c r="W55" s="1319"/>
      <c r="X55" s="1275"/>
      <c r="Y55" s="1275"/>
      <c r="Z55" s="1275"/>
      <c r="AA55" s="1275"/>
      <c r="AB55" s="1275"/>
      <c r="AC55" s="1275"/>
      <c r="AD55" s="1275"/>
      <c r="AE55" s="1275"/>
      <c r="AF55" s="1275"/>
      <c r="AG55" s="1275"/>
      <c r="AH55" s="1275"/>
      <c r="AI55" s="1275"/>
      <c r="AJ55" s="1275"/>
      <c r="AK55" s="1275"/>
      <c r="AL55" s="1275"/>
      <c r="AM55" s="1275"/>
      <c r="AN55" s="1275"/>
      <c r="AO55" s="1275"/>
      <c r="AP55" s="1275"/>
      <c r="AQ55" s="1275"/>
    </row>
    <row s="1877" customFormat="1" customHeight="1" ht="17.25">
      <c r="A56" s="306"/>
      <c r="C56" s="188"/>
      <c r="D56" s="1973">
        <v>8</v>
      </c>
      <c r="E56" s="1975" t="s">
        <v>215</v>
      </c>
      <c r="F56" s="1977" t="s">
        <v>56</v>
      </c>
      <c r="G56" s="1975"/>
      <c r="H56" s="1980"/>
      <c r="I56" s="1982"/>
      <c r="J56" s="1984"/>
      <c r="K56" s="1971"/>
      <c r="L56" s="1971"/>
      <c r="M56" s="1971"/>
      <c r="N56" s="1987"/>
      <c r="O56" s="1971"/>
      <c r="P56" s="1971"/>
      <c r="Q56" s="1971"/>
      <c r="R56" s="1990"/>
      <c r="S56" s="1971"/>
      <c r="T56" s="1487"/>
      <c r="U56" s="1487"/>
      <c r="V56" s="1489"/>
      <c r="W56" s="1313"/>
      <c r="X56" s="1283"/>
      <c r="Y56" s="1283"/>
      <c r="Z56" s="1283"/>
      <c r="AA56" s="1283"/>
      <c r="AB56" s="1283"/>
      <c r="AC56" s="1283" t="s">
        <v>216</v>
      </c>
      <c r="AD56" s="1283" t="s">
        <v>217</v>
      </c>
      <c r="AE56" s="1283" t="s">
        <v>218</v>
      </c>
      <c r="AF56" s="1283" t="s">
        <v>219</v>
      </c>
      <c r="AG56" s="1283" t="s">
        <v>220</v>
      </c>
      <c r="AH56" s="1283" t="str">
        <f>IF($E$56=0,"",$E$56)</f>
        <v>Плата за подключение (технологическое присоединение) к системе теплоснабжения</v>
      </c>
      <c r="AI56" s="1283" t="str">
        <f>IF($G$56=0,"",$G$56)</f>
        <v/>
      </c>
      <c r="AJ56" s="1283" t="str">
        <f>IF($J$56=0,"",$J$56)</f>
        <v/>
      </c>
      <c r="AK56" s="1283" t="str">
        <f>IF($K$56="нет","без дифференциации",IF($N$56=0,"",$N$56))</f>
        <v/>
      </c>
      <c r="AL56" s="1283" t="str">
        <f>IF($O$56="нет","без дифференциации",IF($R$56=0,"",$R$56))</f>
        <v/>
      </c>
      <c r="AM56" s="1283" t="str">
        <f>IF($S$56="нет","без дифференциации",IF($V$56=0,"",$V$56))</f>
        <v/>
      </c>
      <c r="AN56" s="1797">
        <f>$I$56</f>
        <v>0</v>
      </c>
      <c r="AO56" s="1283" t="str">
        <f>$I$56&amp;"."&amp;$M$56</f>
        <v>.</v>
      </c>
      <c r="AP56" s="1275" t="str">
        <f>$I$56&amp;"."&amp;$M$56&amp;"."&amp;$Q$56</f>
        <v>..</v>
      </c>
      <c r="AQ56" s="1275" t="str">
        <f>$I$56&amp;"."&amp;$M$56&amp;"."&amp;$Q$56&amp;"."&amp;$U$56</f>
        <v>...</v>
      </c>
    </row>
    <row s="1877" customFormat="1" customHeight="1" ht="17.25">
      <c r="A57" s="306"/>
      <c r="C57" s="305"/>
      <c r="D57" s="1973"/>
      <c r="E57" s="1975"/>
      <c r="F57" s="1978"/>
      <c r="G57" s="1975"/>
      <c r="H57" s="1981"/>
      <c r="I57" s="1983"/>
      <c r="J57" s="1985"/>
      <c r="K57" s="1972"/>
      <c r="L57" s="1972"/>
      <c r="M57" s="1972"/>
      <c r="N57" s="1988"/>
      <c r="O57" s="1972"/>
      <c r="P57" s="1972"/>
      <c r="Q57" s="1972"/>
      <c r="R57" s="1989"/>
      <c r="S57" s="1972"/>
      <c r="T57" s="1314"/>
      <c r="U57" s="1314"/>
      <c r="V57" s="1314"/>
      <c r="W57" s="1315"/>
      <c r="X57" s="1275"/>
      <c r="Y57" s="1275"/>
      <c r="Z57" s="1275"/>
      <c r="AA57" s="1275"/>
      <c r="AB57" s="1275"/>
      <c r="AC57" s="1275"/>
      <c r="AD57" s="1275"/>
      <c r="AE57" s="1275"/>
      <c r="AF57" s="1275"/>
      <c r="AG57" s="1275"/>
      <c r="AH57" s="1275"/>
      <c r="AI57" s="1275"/>
      <c r="AJ57" s="1275"/>
      <c r="AK57" s="1275"/>
      <c r="AL57" s="1275"/>
      <c r="AM57" s="1275"/>
      <c r="AN57" s="1275"/>
      <c r="AO57" s="1275"/>
      <c r="AP57" s="1275"/>
      <c r="AQ57" s="1275"/>
    </row>
    <row s="1877" customFormat="1" customHeight="1" ht="17.25">
      <c r="A58" s="306"/>
      <c r="C58" s="305"/>
      <c r="D58" s="1974"/>
      <c r="E58" s="1976"/>
      <c r="F58" s="1978"/>
      <c r="G58" s="1976"/>
      <c r="H58" s="1981"/>
      <c r="I58" s="1983"/>
      <c r="J58" s="1986"/>
      <c r="K58" s="1972"/>
      <c r="L58" s="1972"/>
      <c r="M58" s="1972"/>
      <c r="N58" s="1989"/>
      <c r="O58" s="1972"/>
      <c r="P58" s="1488"/>
      <c r="Q58" s="1314"/>
      <c r="R58" s="1314"/>
      <c r="S58" s="317"/>
      <c r="T58" s="317"/>
      <c r="U58" s="317"/>
      <c r="V58" s="317"/>
      <c r="W58" s="1315"/>
      <c r="X58" s="1275"/>
      <c r="Y58" s="1275"/>
      <c r="Z58" s="1275"/>
      <c r="AA58" s="1275"/>
      <c r="AB58" s="1275"/>
      <c r="AC58" s="1275"/>
      <c r="AD58" s="1275"/>
      <c r="AE58" s="1275"/>
      <c r="AF58" s="1275"/>
      <c r="AG58" s="1275"/>
      <c r="AH58" s="1275"/>
      <c r="AI58" s="1275"/>
      <c r="AJ58" s="1275"/>
      <c r="AK58" s="1275"/>
      <c r="AL58" s="1275"/>
      <c r="AM58" s="1275"/>
      <c r="AN58" s="1275"/>
      <c r="AO58" s="1275"/>
      <c r="AP58" s="1275"/>
      <c r="AQ58" s="1275"/>
    </row>
    <row s="1877" customFormat="1" customHeight="1" ht="17.25">
      <c r="A59" s="306"/>
      <c r="C59" s="188"/>
      <c r="D59" s="1974"/>
      <c r="E59" s="1976"/>
      <c r="F59" s="1978"/>
      <c r="G59" s="1976"/>
      <c r="H59" s="1981"/>
      <c r="I59" s="1983"/>
      <c r="J59" s="1986"/>
      <c r="K59" s="1972"/>
      <c r="L59" s="1314"/>
      <c r="M59" s="1314"/>
      <c r="N59" s="1314"/>
      <c r="O59" s="1314"/>
      <c r="P59" s="1314"/>
      <c r="Q59" s="1314"/>
      <c r="R59" s="1314"/>
      <c r="S59" s="317"/>
      <c r="T59" s="317"/>
      <c r="U59" s="317"/>
      <c r="V59" s="317"/>
      <c r="W59" s="1315"/>
      <c r="Y59" s="1283"/>
      <c r="Z59" s="1283"/>
      <c r="AA59" s="1283"/>
      <c r="AB59" s="1283"/>
      <c r="AC59" s="1283"/>
      <c r="AD59" s="1283"/>
      <c r="AE59" s="1283"/>
      <c r="AF59" s="1283"/>
      <c r="AG59" s="1283"/>
      <c r="AH59" s="1283"/>
      <c r="AI59" s="1283"/>
      <c r="AJ59" s="1283"/>
      <c r="AK59" s="1283"/>
      <c r="AL59" s="1283"/>
      <c r="AM59" s="1283"/>
      <c r="AN59" s="1283"/>
      <c r="AO59" s="1283"/>
      <c r="AP59" s="1283"/>
      <c r="AQ59" s="1283"/>
    </row>
    <row s="1877" customFormat="1" customHeight="1" ht="17.25">
      <c r="A60" s="306"/>
      <c r="C60" s="305"/>
      <c r="D60" s="1974"/>
      <c r="E60" s="1976"/>
      <c r="F60" s="1979"/>
      <c r="G60" s="1976"/>
      <c r="H60" s="1316"/>
      <c r="I60" s="1317"/>
      <c r="J60" s="1317"/>
      <c r="K60" s="1317"/>
      <c r="L60" s="1317"/>
      <c r="M60" s="1317"/>
      <c r="N60" s="1317"/>
      <c r="O60" s="1317"/>
      <c r="P60" s="1317"/>
      <c r="Q60" s="1317"/>
      <c r="R60" s="1317"/>
      <c r="S60" s="1318"/>
      <c r="T60" s="1318"/>
      <c r="U60" s="1318"/>
      <c r="V60" s="1318"/>
      <c r="W60" s="1319"/>
      <c r="X60" s="1275"/>
      <c r="Y60" s="1275"/>
      <c r="Z60" s="1275"/>
      <c r="AA60" s="1275"/>
      <c r="AB60" s="1275"/>
      <c r="AC60" s="1275"/>
      <c r="AD60" s="1275"/>
      <c r="AE60" s="1275"/>
      <c r="AF60" s="1275"/>
      <c r="AG60" s="1275"/>
      <c r="AH60" s="1275"/>
      <c r="AI60" s="1275"/>
      <c r="AJ60" s="1275"/>
      <c r="AK60" s="1275"/>
      <c r="AL60" s="1275"/>
      <c r="AM60" s="1275"/>
      <c r="AN60" s="1275"/>
      <c r="AO60" s="1275"/>
      <c r="AP60" s="1275"/>
      <c r="AQ60" s="1275"/>
    </row>
    <row customHeight="1" ht="11.25"/>
    <row customHeight="1" ht="11.25">
      <c r="E62" s="1993" t="s">
        <v>221</v>
      </c>
      <c r="F62" s="1993"/>
      <c r="G62" s="1993"/>
      <c r="H62" s="1993"/>
      <c r="I62" s="1993"/>
      <c r="J62" s="1993"/>
      <c r="K62" s="1993"/>
      <c r="L62" s="1993"/>
      <c r="M62" s="1993"/>
      <c r="N62" s="1993"/>
      <c r="O62" s="1993"/>
      <c r="P62" s="1993"/>
      <c r="Q62" s="1993"/>
      <c r="R62" s="1993"/>
      <c r="S62" s="1993"/>
      <c r="T62" s="1993"/>
      <c r="U62" s="1993"/>
      <c r="V62" s="1993"/>
      <c r="W62" s="1993"/>
    </row>
    <row customHeight="1" ht="36.75">
      <c r="E63" s="1991" t="s">
        <v>222</v>
      </c>
      <c r="F63" s="1991"/>
      <c r="G63" s="1992"/>
      <c r="H63" s="1992"/>
      <c r="I63" s="1992"/>
      <c r="J63" s="1992"/>
      <c r="K63" s="1992"/>
      <c r="L63" s="1992"/>
      <c r="M63" s="1992"/>
      <c r="N63" s="1992"/>
      <c r="O63" s="1992"/>
      <c r="P63" s="1992"/>
      <c r="Q63" s="1992"/>
      <c r="R63" s="1992"/>
      <c r="S63" s="1992"/>
      <c r="T63" s="1992"/>
      <c r="U63" s="1992"/>
      <c r="V63" s="1992"/>
      <c r="W63" s="1992"/>
    </row>
    <row customHeight="1" ht="28.5">
      <c r="E64" s="1991" t="s">
        <v>223</v>
      </c>
      <c r="F64" s="1991"/>
      <c r="G64" s="1992"/>
      <c r="H64" s="1992"/>
      <c r="I64" s="1992"/>
      <c r="J64" s="1992"/>
      <c r="K64" s="1992"/>
      <c r="L64" s="1992"/>
      <c r="M64" s="1992"/>
      <c r="N64" s="1992"/>
      <c r="O64" s="1992"/>
      <c r="P64" s="1992"/>
      <c r="Q64" s="1992"/>
      <c r="R64" s="1992"/>
      <c r="S64" s="1992"/>
      <c r="T64" s="1992"/>
      <c r="U64" s="1992"/>
      <c r="V64" s="1992"/>
      <c r="W64" s="1992"/>
    </row>
    <row customHeight="1" ht="27">
      <c r="E65" s="1991" t="s">
        <v>224</v>
      </c>
      <c r="F65" s="1991"/>
      <c r="G65" s="1992"/>
      <c r="H65" s="1992"/>
      <c r="I65" s="1992"/>
      <c r="J65" s="1992"/>
      <c r="K65" s="1992"/>
      <c r="L65" s="1992"/>
      <c r="M65" s="1992"/>
      <c r="N65" s="1992"/>
      <c r="O65" s="1992"/>
      <c r="P65" s="1992"/>
      <c r="Q65" s="1992"/>
      <c r="R65" s="1992"/>
      <c r="S65" s="1992"/>
      <c r="T65" s="1992"/>
      <c r="U65" s="1992"/>
      <c r="V65" s="1992"/>
      <c r="W65" s="1992"/>
    </row>
    <row customHeight="1" ht="17.25">
      <c r="E66" s="1991" t="s">
        <v>225</v>
      </c>
      <c r="F66" s="1991"/>
      <c r="G66" s="1992"/>
      <c r="H66" s="1992"/>
      <c r="I66" s="1992"/>
      <c r="J66" s="1992"/>
      <c r="K66" s="1992"/>
      <c r="L66" s="1992"/>
      <c r="M66" s="1992"/>
      <c r="N66" s="1992"/>
      <c r="O66" s="1992"/>
      <c r="P66" s="1992"/>
      <c r="Q66" s="1992"/>
      <c r="R66" s="1992"/>
      <c r="S66" s="1992"/>
      <c r="T66" s="1992"/>
      <c r="U66" s="1992"/>
      <c r="V66" s="1992"/>
      <c r="W66" s="1992"/>
    </row>
    <row customHeight="1" ht="15">
      <c r="E67" s="328"/>
      <c r="F67" s="1302"/>
      <c r="G67" s="137"/>
      <c r="H67" s="137"/>
      <c r="I67" s="137"/>
      <c r="J67" s="137"/>
      <c r="K67" s="137"/>
      <c r="L67" s="137"/>
      <c r="M67" s="137"/>
      <c r="N67" s="137"/>
      <c r="O67" s="137"/>
      <c r="P67" s="137"/>
      <c r="Q67" s="137"/>
      <c r="R67" s="137"/>
      <c r="S67" s="137"/>
      <c r="T67" s="137"/>
      <c r="U67" s="137"/>
      <c r="V67" s="137"/>
      <c r="W67" s="137"/>
    </row>
    <row customHeight="1" ht="15">
      <c r="E68" s="1993" t="s">
        <v>226</v>
      </c>
      <c r="F68" s="1993"/>
      <c r="G68" s="1993"/>
      <c r="H68" s="1993"/>
      <c r="I68" s="1993"/>
      <c r="J68" s="1993"/>
      <c r="K68" s="1993"/>
      <c r="L68" s="1993"/>
      <c r="M68" s="1993"/>
      <c r="N68" s="1993"/>
      <c r="O68" s="1993"/>
      <c r="P68" s="1993"/>
      <c r="Q68" s="1993"/>
      <c r="R68" s="1993"/>
      <c r="S68" s="1993"/>
      <c r="T68" s="1993"/>
      <c r="U68" s="1993"/>
      <c r="V68" s="1993"/>
      <c r="W68" s="1993"/>
    </row>
    <row customHeight="1" ht="17.25">
      <c r="E69" s="1991" t="s">
        <v>227</v>
      </c>
      <c r="F69" s="1991"/>
      <c r="G69" s="1992"/>
      <c r="H69" s="1992"/>
      <c r="I69" s="1992"/>
      <c r="J69" s="1992"/>
      <c r="K69" s="1992"/>
      <c r="L69" s="1992"/>
      <c r="M69" s="1992"/>
      <c r="N69" s="1992"/>
      <c r="O69" s="1992"/>
      <c r="P69" s="1992"/>
      <c r="Q69" s="1992"/>
      <c r="R69" s="1992"/>
      <c r="S69" s="1992"/>
      <c r="T69" s="1992"/>
      <c r="U69" s="1992"/>
      <c r="V69" s="1992"/>
      <c r="W69" s="1992"/>
    </row>
    <row customHeight="1" ht="17.25">
      <c r="E70" s="1991" t="s">
        <v>228</v>
      </c>
      <c r="F70" s="1991"/>
      <c r="G70" s="1992"/>
      <c r="H70" s="1992"/>
      <c r="I70" s="1992"/>
      <c r="J70" s="1992"/>
      <c r="K70" s="1992"/>
      <c r="L70" s="1992"/>
      <c r="M70" s="1992"/>
      <c r="N70" s="1992"/>
      <c r="O70" s="1992"/>
      <c r="P70" s="1992"/>
      <c r="Q70" s="1992"/>
      <c r="R70" s="1992"/>
      <c r="S70" s="1992"/>
      <c r="T70" s="1992"/>
      <c r="U70" s="1992"/>
      <c r="V70" s="1992"/>
      <c r="W70" s="1992"/>
    </row>
    <row s="1877" customFormat="1" customHeight="1" ht="11.25" hidden="1">
      <c r="A71" s="256"/>
      <c r="B71" s="256"/>
      <c r="Y71" s="1275"/>
      <c r="Z71" s="1275"/>
      <c r="AA71" s="1275"/>
      <c r="AB71" s="1275"/>
      <c r="AC71" s="1275"/>
      <c r="AD71" s="1275"/>
      <c r="AE71" s="1275"/>
      <c r="AF71" s="1275"/>
      <c r="AG71" s="1275"/>
      <c r="AH71" s="1275"/>
      <c r="AI71" s="1275"/>
      <c r="AJ71" s="1275"/>
      <c r="AK71" s="1275"/>
      <c r="AL71" s="1275"/>
      <c r="AM71" s="1275"/>
      <c r="AN71" s="1275"/>
      <c r="AO71" s="1275"/>
      <c r="AP71" s="1275"/>
      <c r="AQ71" s="1275"/>
    </row>
    <row s="1877" customFormat="1" customHeight="1" ht="17.25" hidden="1">
      <c r="A72" s="306"/>
      <c r="C72" s="188"/>
      <c r="D72" s="1973">
        <v>1</v>
      </c>
      <c r="E72" s="1975" t="s">
        <v>229</v>
      </c>
      <c r="F72" s="1977" t="s">
        <v>56</v>
      </c>
      <c r="G72" s="1975"/>
      <c r="H72" s="1980"/>
      <c r="I72" s="1982"/>
      <c r="J72" s="1984"/>
      <c r="K72" s="1971"/>
      <c r="L72" s="1971"/>
      <c r="M72" s="1971"/>
      <c r="N72" s="1987"/>
      <c r="O72" s="1971"/>
      <c r="P72" s="1971"/>
      <c r="Q72" s="1971"/>
      <c r="R72" s="1990"/>
      <c r="S72" s="1971"/>
      <c r="T72" s="1487"/>
      <c r="U72" s="1487"/>
      <c r="V72" s="1489"/>
      <c r="W72" s="1313"/>
      <c r="Y72" s="1283"/>
      <c r="Z72" s="1283"/>
      <c r="AA72" s="1283"/>
      <c r="AB72" s="1283"/>
      <c r="AC72" s="1283" t="s">
        <v>230</v>
      </c>
      <c r="AD72" s="1283" t="s">
        <v>231</v>
      </c>
      <c r="AE72" s="1283" t="s">
        <v>232</v>
      </c>
      <c r="AF72" s="1283" t="s">
        <v>233</v>
      </c>
      <c r="AG72" s="1283"/>
      <c r="AH72" s="1283" t="str">
        <f>IF($E$72=0,"",$E$72)</f>
        <v>Тариф на питьевую воду (питьевое водоснабжение)</v>
      </c>
      <c r="AI72" s="1283" t="str">
        <f>IF($G$72=0,"",$G$72)</f>
        <v/>
      </c>
      <c r="AJ72" s="1283" t="str">
        <f>IF($J$72=0,"",$J$72)</f>
        <v/>
      </c>
      <c r="AK72" s="1283" t="str">
        <f>IF($K$72="нет","без дифференциации",IF($N$72=0,"",$N$72))</f>
        <v/>
      </c>
      <c r="AL72" s="1283" t="str">
        <f>IF($O$72="нет","без дифференциации",IF($R$72=0,"",$R$72))</f>
        <v/>
      </c>
      <c r="AM72" s="1283" t="str">
        <f>IF($S$72="нет","без дифференциации",IF($V$72=0,"",$V$72))</f>
        <v/>
      </c>
      <c r="AN72" s="1283">
        <f>$I$72</f>
        <v>0</v>
      </c>
      <c r="AO72" s="1283" t="str">
        <f>$I$72&amp;"."&amp;$M$72</f>
        <v>.</v>
      </c>
      <c r="AP72" s="1283" t="str">
        <f>$I$72&amp;"."&amp;$M$72&amp;"."&amp;$Q$72</f>
        <v>..</v>
      </c>
      <c r="AQ72" s="1283" t="str">
        <f>$I$72&amp;"."&amp;$M$72&amp;"."&amp;$Q$72&amp;"."&amp;$U$72</f>
        <v>...</v>
      </c>
    </row>
    <row s="1877" customFormat="1" customHeight="1" ht="17.25" hidden="1">
      <c r="A73" s="306"/>
      <c r="C73" s="305"/>
      <c r="D73" s="1973"/>
      <c r="E73" s="1975"/>
      <c r="F73" s="1978"/>
      <c r="G73" s="1975"/>
      <c r="H73" s="1981"/>
      <c r="I73" s="1983"/>
      <c r="J73" s="1985"/>
      <c r="K73" s="1972"/>
      <c r="L73" s="1972"/>
      <c r="M73" s="1972"/>
      <c r="N73" s="1988"/>
      <c r="O73" s="1972"/>
      <c r="P73" s="1972"/>
      <c r="Q73" s="1972"/>
      <c r="R73" s="1989"/>
      <c r="S73" s="1972"/>
      <c r="T73" s="1314"/>
      <c r="U73" s="1314"/>
      <c r="V73" s="1314"/>
      <c r="W73" s="1315"/>
      <c r="Y73" s="1275"/>
      <c r="Z73" s="1275"/>
      <c r="AA73" s="1275"/>
      <c r="AB73" s="1275"/>
      <c r="AC73" s="1275"/>
      <c r="AD73" s="1275"/>
      <c r="AE73" s="1275"/>
      <c r="AF73" s="1275"/>
      <c r="AG73" s="1275"/>
      <c r="AH73" s="1275"/>
      <c r="AI73" s="1275"/>
      <c r="AJ73" s="1275"/>
      <c r="AK73" s="1275"/>
      <c r="AL73" s="1275"/>
      <c r="AM73" s="1275"/>
      <c r="AN73" s="1275"/>
      <c r="AO73" s="1275"/>
      <c r="AP73" s="1275"/>
      <c r="AQ73" s="1275"/>
    </row>
    <row s="1877" customFormat="1" customHeight="1" ht="17.25" hidden="1">
      <c r="A74" s="306"/>
      <c r="C74" s="188"/>
      <c r="D74" s="1973"/>
      <c r="E74" s="1975"/>
      <c r="F74" s="1978"/>
      <c r="G74" s="1975"/>
      <c r="H74" s="1981"/>
      <c r="I74" s="1983"/>
      <c r="J74" s="1986"/>
      <c r="K74" s="1972"/>
      <c r="L74" s="1972"/>
      <c r="M74" s="1972"/>
      <c r="N74" s="1989"/>
      <c r="O74" s="1972"/>
      <c r="P74" s="1488"/>
      <c r="Q74" s="1314"/>
      <c r="R74" s="1314"/>
      <c r="S74" s="317"/>
      <c r="T74" s="317"/>
      <c r="U74" s="317"/>
      <c r="V74" s="317"/>
      <c r="W74" s="1315"/>
      <c r="Y74" s="1283"/>
      <c r="Z74" s="1283"/>
      <c r="AA74" s="1283"/>
      <c r="AB74" s="1283"/>
      <c r="AC74" s="1283"/>
      <c r="AD74" s="1283"/>
      <c r="AE74" s="1283"/>
      <c r="AF74" s="1283"/>
      <c r="AG74" s="1283"/>
      <c r="AH74" s="1283"/>
      <c r="AI74" s="1283"/>
      <c r="AJ74" s="1283"/>
      <c r="AK74" s="1283"/>
      <c r="AL74" s="1283"/>
      <c r="AM74" s="1283"/>
      <c r="AN74" s="1283"/>
      <c r="AO74" s="1283"/>
      <c r="AP74" s="1283"/>
      <c r="AQ74" s="1283"/>
    </row>
    <row s="1877" customFormat="1" customHeight="1" ht="17.25" hidden="1">
      <c r="A75" s="306"/>
      <c r="C75" s="305"/>
      <c r="D75" s="1973"/>
      <c r="E75" s="1975"/>
      <c r="F75" s="1978"/>
      <c r="G75" s="1975"/>
      <c r="H75" s="1981"/>
      <c r="I75" s="1983"/>
      <c r="J75" s="1986"/>
      <c r="K75" s="1972"/>
      <c r="L75" s="1314"/>
      <c r="M75" s="1314"/>
      <c r="N75" s="1314"/>
      <c r="O75" s="1314"/>
      <c r="P75" s="1314"/>
      <c r="Q75" s="1314"/>
      <c r="R75" s="1314"/>
      <c r="S75" s="317"/>
      <c r="T75" s="317"/>
      <c r="U75" s="317"/>
      <c r="V75" s="317"/>
      <c r="W75" s="1315"/>
      <c r="Y75" s="1275"/>
      <c r="Z75" s="1275"/>
      <c r="AA75" s="1275"/>
      <c r="AB75" s="1275"/>
      <c r="AC75" s="1275"/>
      <c r="AD75" s="1275"/>
      <c r="AE75" s="1275"/>
      <c r="AF75" s="1275"/>
      <c r="AG75" s="1275"/>
      <c r="AH75" s="1275"/>
      <c r="AI75" s="1275"/>
      <c r="AJ75" s="1275"/>
      <c r="AK75" s="1275"/>
      <c r="AL75" s="1275"/>
      <c r="AM75" s="1275"/>
      <c r="AN75" s="1275"/>
      <c r="AO75" s="1275"/>
      <c r="AP75" s="1275"/>
      <c r="AQ75" s="1275"/>
    </row>
    <row s="1877" customFormat="1" customHeight="1" ht="17.25" hidden="1">
      <c r="A76" s="306"/>
      <c r="C76" s="305"/>
      <c r="D76" s="1974"/>
      <c r="E76" s="1976"/>
      <c r="F76" s="1979"/>
      <c r="G76" s="1976"/>
      <c r="H76" s="1316"/>
      <c r="I76" s="1317"/>
      <c r="J76" s="1317"/>
      <c r="K76" s="1317"/>
      <c r="L76" s="1317"/>
      <c r="M76" s="1317"/>
      <c r="N76" s="1317"/>
      <c r="O76" s="1317"/>
      <c r="P76" s="1317"/>
      <c r="Q76" s="1317"/>
      <c r="R76" s="1317"/>
      <c r="S76" s="1318"/>
      <c r="T76" s="1318"/>
      <c r="U76" s="1318"/>
      <c r="V76" s="1318"/>
      <c r="W76" s="1319"/>
      <c r="Y76" s="1275"/>
      <c r="Z76" s="1275"/>
      <c r="AA76" s="1275"/>
      <c r="AB76" s="1275"/>
      <c r="AC76" s="1275"/>
      <c r="AD76" s="1275"/>
      <c r="AE76" s="1275"/>
      <c r="AF76" s="1275"/>
      <c r="AG76" s="1275"/>
      <c r="AH76" s="1275"/>
      <c r="AI76" s="1275"/>
      <c r="AJ76" s="1275"/>
      <c r="AK76" s="1275"/>
      <c r="AL76" s="1275"/>
      <c r="AM76" s="1275"/>
      <c r="AN76" s="1275"/>
      <c r="AO76" s="1275"/>
      <c r="AP76" s="1275"/>
      <c r="AQ76" s="1275"/>
    </row>
    <row s="1877" customFormat="1" customHeight="1" ht="17.25" hidden="1">
      <c r="A77" s="306"/>
      <c r="C77" s="188"/>
      <c r="D77" s="1973">
        <v>2</v>
      </c>
      <c r="E77" s="1975" t="s">
        <v>234</v>
      </c>
      <c r="F77" s="1977" t="s">
        <v>56</v>
      </c>
      <c r="G77" s="1975"/>
      <c r="H77" s="1980"/>
      <c r="I77" s="1982"/>
      <c r="J77" s="1984"/>
      <c r="K77" s="1971"/>
      <c r="L77" s="1971"/>
      <c r="M77" s="1971"/>
      <c r="N77" s="1987"/>
      <c r="O77" s="1971"/>
      <c r="P77" s="1971"/>
      <c r="Q77" s="1971"/>
      <c r="R77" s="1990"/>
      <c r="S77" s="1971"/>
      <c r="T77" s="1460"/>
      <c r="U77" s="1460"/>
      <c r="V77" s="1462"/>
      <c r="W77" s="1313"/>
      <c r="X77" s="1283"/>
      <c r="Y77" s="1283"/>
      <c r="Z77" s="1283"/>
      <c r="AA77" s="1283"/>
      <c r="AB77" s="1283"/>
      <c r="AC77" s="1283" t="s">
        <v>235</v>
      </c>
      <c r="AD77" s="1283" t="s">
        <v>236</v>
      </c>
      <c r="AE77" s="1283" t="s">
        <v>237</v>
      </c>
      <c r="AF77" s="1283" t="s">
        <v>238</v>
      </c>
      <c r="AG77" s="1283"/>
      <c r="AH77" s="1283" t="str">
        <f>IF($E$77=0,"",$E$77)</f>
        <v>Тариф на техническую воду</v>
      </c>
      <c r="AI77" s="1283" t="str">
        <f>IF($G$77=0,"",$G$77)</f>
        <v/>
      </c>
      <c r="AJ77" s="1283" t="str">
        <f>IF($J$77=0,"",$J$77)</f>
        <v/>
      </c>
      <c r="AK77" s="1283" t="str">
        <f>IF($K$77="нет","без дифференциации",IF($N$77=0,"",$N$77))</f>
        <v/>
      </c>
      <c r="AL77" s="1283" t="str">
        <f>IF($O$77="нет","без дифференциации",IF($R$77=0,"",$R$77))</f>
        <v/>
      </c>
      <c r="AM77" s="1283" t="str">
        <f>IF($S$77="нет","без дифференциации",IF($V$77=0,"",$V$77))</f>
        <v/>
      </c>
      <c r="AN77" s="1797">
        <f>$I$77</f>
        <v>0</v>
      </c>
      <c r="AO77" s="1283" t="str">
        <f>$I$77&amp;"."&amp;$M$77</f>
        <v>.</v>
      </c>
      <c r="AP77" s="1275" t="str">
        <f>$I$77&amp;"."&amp;$M$77&amp;"."&amp;$Q$77</f>
        <v>..</v>
      </c>
      <c r="AQ77" s="1275" t="str">
        <f>$I$77&amp;"."&amp;$M$77&amp;"."&amp;$Q$77&amp;"."&amp;$U$77</f>
        <v>...</v>
      </c>
    </row>
    <row s="1877" customFormat="1" customHeight="1" ht="17.25" hidden="1">
      <c r="A78" s="306"/>
      <c r="C78" s="305"/>
      <c r="D78" s="1973"/>
      <c r="E78" s="1975"/>
      <c r="F78" s="1978"/>
      <c r="G78" s="1975"/>
      <c r="H78" s="1981"/>
      <c r="I78" s="1983"/>
      <c r="J78" s="1985"/>
      <c r="K78" s="1972"/>
      <c r="L78" s="1972"/>
      <c r="M78" s="1972"/>
      <c r="N78" s="1988"/>
      <c r="O78" s="1972"/>
      <c r="P78" s="1972"/>
      <c r="Q78" s="1972"/>
      <c r="R78" s="1989"/>
      <c r="S78" s="1972"/>
      <c r="T78" s="1314"/>
      <c r="U78" s="1314"/>
      <c r="V78" s="1314"/>
      <c r="W78" s="1315"/>
      <c r="X78" s="1275"/>
      <c r="Y78" s="1275"/>
      <c r="Z78" s="1275"/>
      <c r="AA78" s="1275"/>
      <c r="AB78" s="1275"/>
      <c r="AC78" s="1275"/>
      <c r="AD78" s="1275"/>
      <c r="AE78" s="1275"/>
      <c r="AF78" s="1275"/>
      <c r="AG78" s="1275"/>
      <c r="AH78" s="1275"/>
      <c r="AI78" s="1275"/>
      <c r="AJ78" s="1275"/>
      <c r="AK78" s="1275"/>
      <c r="AL78" s="1275"/>
      <c r="AM78" s="1275"/>
      <c r="AN78" s="1275"/>
      <c r="AO78" s="1275"/>
      <c r="AP78" s="1275"/>
      <c r="AQ78" s="1275"/>
    </row>
    <row s="1877" customFormat="1" customHeight="1" ht="17.25" hidden="1">
      <c r="A79" s="306"/>
      <c r="C79" s="305"/>
      <c r="D79" s="1974"/>
      <c r="E79" s="1976"/>
      <c r="F79" s="1978"/>
      <c r="G79" s="1976"/>
      <c r="H79" s="1981"/>
      <c r="I79" s="1983"/>
      <c r="J79" s="1986"/>
      <c r="K79" s="1972"/>
      <c r="L79" s="1972"/>
      <c r="M79" s="1972"/>
      <c r="N79" s="1989"/>
      <c r="O79" s="1972"/>
      <c r="P79" s="1461"/>
      <c r="Q79" s="1314"/>
      <c r="R79" s="1314"/>
      <c r="S79" s="317"/>
      <c r="T79" s="317"/>
      <c r="U79" s="317"/>
      <c r="V79" s="317"/>
      <c r="W79" s="1315"/>
      <c r="X79" s="1275"/>
      <c r="Y79" s="1275"/>
      <c r="Z79" s="1275"/>
      <c r="AA79" s="1275"/>
      <c r="AB79" s="1275"/>
      <c r="AC79" s="1275"/>
      <c r="AD79" s="1275"/>
      <c r="AE79" s="1275"/>
      <c r="AF79" s="1275"/>
      <c r="AG79" s="1275"/>
      <c r="AH79" s="1275"/>
      <c r="AI79" s="1275"/>
      <c r="AJ79" s="1275"/>
      <c r="AK79" s="1275"/>
      <c r="AL79" s="1275"/>
      <c r="AM79" s="1275"/>
      <c r="AN79" s="1275"/>
      <c r="AO79" s="1275"/>
      <c r="AP79" s="1275"/>
      <c r="AQ79" s="1275"/>
    </row>
    <row s="1877" customFormat="1" customHeight="1" ht="17.25" hidden="1">
      <c r="A80" s="306"/>
      <c r="C80" s="305"/>
      <c r="D80" s="1974"/>
      <c r="E80" s="1976"/>
      <c r="F80" s="1978"/>
      <c r="G80" s="1976"/>
      <c r="H80" s="1981"/>
      <c r="I80" s="1983"/>
      <c r="J80" s="1986"/>
      <c r="K80" s="1972"/>
      <c r="L80" s="1314"/>
      <c r="M80" s="1314"/>
      <c r="N80" s="1314"/>
      <c r="O80" s="1314"/>
      <c r="P80" s="1314"/>
      <c r="Q80" s="1314"/>
      <c r="R80" s="1314"/>
      <c r="S80" s="317"/>
      <c r="T80" s="317"/>
      <c r="U80" s="317"/>
      <c r="V80" s="317"/>
      <c r="W80" s="1315"/>
      <c r="X80" s="1275"/>
      <c r="Y80" s="1275"/>
      <c r="Z80" s="1275"/>
      <c r="AA80" s="1275"/>
      <c r="AB80" s="1275"/>
      <c r="AC80" s="1275"/>
      <c r="AD80" s="1275"/>
      <c r="AE80" s="1275"/>
      <c r="AF80" s="1275"/>
      <c r="AG80" s="1275"/>
      <c r="AH80" s="1275"/>
      <c r="AI80" s="1275"/>
      <c r="AJ80" s="1275"/>
      <c r="AK80" s="1275"/>
      <c r="AL80" s="1275"/>
      <c r="AM80" s="1275"/>
      <c r="AN80" s="1275"/>
      <c r="AO80" s="1275"/>
      <c r="AP80" s="1275"/>
      <c r="AQ80" s="1275"/>
    </row>
    <row s="1877" customFormat="1" customHeight="1" ht="17.25" hidden="1">
      <c r="A81" s="306"/>
      <c r="C81" s="305"/>
      <c r="D81" s="1974"/>
      <c r="E81" s="1976"/>
      <c r="F81" s="1979"/>
      <c r="G81" s="1976"/>
      <c r="H81" s="1316"/>
      <c r="I81" s="1317"/>
      <c r="J81" s="1317"/>
      <c r="K81" s="1317"/>
      <c r="L81" s="1317"/>
      <c r="M81" s="1317"/>
      <c r="N81" s="1317"/>
      <c r="O81" s="1317"/>
      <c r="P81" s="1317"/>
      <c r="Q81" s="1317"/>
      <c r="R81" s="1317"/>
      <c r="S81" s="1318"/>
      <c r="T81" s="1318"/>
      <c r="U81" s="1318"/>
      <c r="V81" s="1318"/>
      <c r="W81" s="1319"/>
      <c r="X81" s="1275"/>
      <c r="Y81" s="1275"/>
      <c r="Z81" s="1275"/>
      <c r="AA81" s="1275"/>
      <c r="AB81" s="1275"/>
      <c r="AC81" s="1275"/>
      <c r="AD81" s="1275"/>
      <c r="AE81" s="1275"/>
      <c r="AF81" s="1275"/>
      <c r="AG81" s="1275"/>
      <c r="AH81" s="1275"/>
      <c r="AI81" s="1275"/>
      <c r="AJ81" s="1275"/>
      <c r="AK81" s="1275"/>
      <c r="AL81" s="1275"/>
      <c r="AM81" s="1275"/>
      <c r="AN81" s="1275"/>
      <c r="AO81" s="1275"/>
      <c r="AP81" s="1275"/>
      <c r="AQ81" s="1275"/>
    </row>
    <row s="1877" customFormat="1" customHeight="1" ht="17.25" hidden="1">
      <c r="A82" s="306"/>
      <c r="C82" s="188"/>
      <c r="D82" s="1973">
        <v>3</v>
      </c>
      <c r="E82" s="1975" t="s">
        <v>239</v>
      </c>
      <c r="F82" s="1977" t="s">
        <v>56</v>
      </c>
      <c r="G82" s="1975"/>
      <c r="H82" s="1980"/>
      <c r="I82" s="1982"/>
      <c r="J82" s="1984"/>
      <c r="K82" s="1971"/>
      <c r="L82" s="1971"/>
      <c r="M82" s="1971"/>
      <c r="N82" s="1987"/>
      <c r="O82" s="1971"/>
      <c r="P82" s="1971"/>
      <c r="Q82" s="1971"/>
      <c r="R82" s="1990"/>
      <c r="S82" s="1971"/>
      <c r="T82" s="1460"/>
      <c r="U82" s="1460"/>
      <c r="V82" s="1462"/>
      <c r="W82" s="1313"/>
      <c r="X82" s="1283"/>
      <c r="Y82" s="1283"/>
      <c r="Z82" s="1283"/>
      <c r="AA82" s="1283"/>
      <c r="AB82" s="1283"/>
      <c r="AC82" s="1283" t="s">
        <v>240</v>
      </c>
      <c r="AD82" s="1283" t="s">
        <v>241</v>
      </c>
      <c r="AE82" s="1283" t="s">
        <v>242</v>
      </c>
      <c r="AF82" s="1283" t="s">
        <v>243</v>
      </c>
      <c r="AG82" s="1283"/>
      <c r="AH82" s="1283" t="str">
        <f>IF($E$82=0,"",$E$82)</f>
        <v>Тариф на транспортировку воды</v>
      </c>
      <c r="AI82" s="1283" t="str">
        <f>IF($G$82=0,"",$G$82)</f>
        <v/>
      </c>
      <c r="AJ82" s="1283" t="str">
        <f>IF($J$82=0,"",$J$82)</f>
        <v/>
      </c>
      <c r="AK82" s="1283" t="str">
        <f>IF($K$82="нет","без дифференциации",IF($N$82=0,"",$N$82))</f>
        <v/>
      </c>
      <c r="AL82" s="1283" t="str">
        <f>IF($O$82="нет","без дифференциации",IF($R$82=0,"",$R$82))</f>
        <v/>
      </c>
      <c r="AM82" s="1283" t="str">
        <f>IF($S$82="нет","без дифференциации",IF($V$82=0,"",$V$82))</f>
        <v/>
      </c>
      <c r="AN82" s="1797">
        <f>$I$82</f>
        <v>0</v>
      </c>
      <c r="AO82" s="1283" t="str">
        <f>$I$82&amp;"."&amp;$M$82</f>
        <v>.</v>
      </c>
      <c r="AP82" s="1275" t="str">
        <f>$I$82&amp;"."&amp;$M$82&amp;"."&amp;$Q$82</f>
        <v>..</v>
      </c>
      <c r="AQ82" s="1275" t="str">
        <f>$I$82&amp;"."&amp;$M$82&amp;"."&amp;$Q$82&amp;"."&amp;$U$82</f>
        <v>...</v>
      </c>
    </row>
    <row s="1877" customFormat="1" customHeight="1" ht="17.25" hidden="1">
      <c r="A83" s="306"/>
      <c r="C83" s="305"/>
      <c r="D83" s="1973"/>
      <c r="E83" s="1975"/>
      <c r="F83" s="1978"/>
      <c r="G83" s="1975"/>
      <c r="H83" s="1981"/>
      <c r="I83" s="1983"/>
      <c r="J83" s="1985"/>
      <c r="K83" s="1972"/>
      <c r="L83" s="1972"/>
      <c r="M83" s="1972"/>
      <c r="N83" s="1988"/>
      <c r="O83" s="1972"/>
      <c r="P83" s="1972"/>
      <c r="Q83" s="1972"/>
      <c r="R83" s="1989"/>
      <c r="S83" s="1972"/>
      <c r="T83" s="1314"/>
      <c r="U83" s="1314"/>
      <c r="V83" s="1314"/>
      <c r="W83" s="1315"/>
      <c r="X83" s="1275"/>
      <c r="Y83" s="1275"/>
      <c r="Z83" s="1275"/>
      <c r="AA83" s="1275"/>
      <c r="AB83" s="1275"/>
      <c r="AC83" s="1275"/>
      <c r="AD83" s="1275"/>
      <c r="AE83" s="1275"/>
      <c r="AF83" s="1275"/>
      <c r="AG83" s="1275"/>
      <c r="AH83" s="1275"/>
      <c r="AI83" s="1275"/>
      <c r="AJ83" s="1275"/>
      <c r="AK83" s="1275"/>
      <c r="AL83" s="1275"/>
      <c r="AM83" s="1275"/>
      <c r="AN83" s="1275"/>
      <c r="AO83" s="1275"/>
      <c r="AP83" s="1275"/>
      <c r="AQ83" s="1275"/>
    </row>
    <row s="1877" customFormat="1" customHeight="1" ht="17.25" hidden="1">
      <c r="A84" s="306"/>
      <c r="C84" s="305"/>
      <c r="D84" s="1974"/>
      <c r="E84" s="1976"/>
      <c r="F84" s="1978"/>
      <c r="G84" s="1976"/>
      <c r="H84" s="1981"/>
      <c r="I84" s="1983"/>
      <c r="J84" s="1986"/>
      <c r="K84" s="1972"/>
      <c r="L84" s="1972"/>
      <c r="M84" s="1972"/>
      <c r="N84" s="1989"/>
      <c r="O84" s="1972"/>
      <c r="P84" s="1461"/>
      <c r="Q84" s="1314"/>
      <c r="R84" s="1314"/>
      <c r="S84" s="317"/>
      <c r="T84" s="317"/>
      <c r="U84" s="317"/>
      <c r="V84" s="317"/>
      <c r="W84" s="1315"/>
      <c r="X84" s="1275"/>
      <c r="Y84" s="1275"/>
      <c r="Z84" s="1275"/>
      <c r="AA84" s="1275"/>
      <c r="AB84" s="1275"/>
      <c r="AC84" s="1275"/>
      <c r="AD84" s="1275"/>
      <c r="AE84" s="1275"/>
      <c r="AF84" s="1275"/>
      <c r="AG84" s="1275"/>
      <c r="AH84" s="1275"/>
      <c r="AI84" s="1275"/>
      <c r="AJ84" s="1275"/>
      <c r="AK84" s="1275"/>
      <c r="AL84" s="1275"/>
      <c r="AM84" s="1275"/>
      <c r="AN84" s="1275"/>
      <c r="AO84" s="1275"/>
      <c r="AP84" s="1275"/>
      <c r="AQ84" s="1275"/>
    </row>
    <row s="1877" customFormat="1" customHeight="1" ht="17.25" hidden="1">
      <c r="A85" s="306"/>
      <c r="C85" s="305"/>
      <c r="D85" s="1974"/>
      <c r="E85" s="1976"/>
      <c r="F85" s="1978"/>
      <c r="G85" s="1976"/>
      <c r="H85" s="1981"/>
      <c r="I85" s="1983"/>
      <c r="J85" s="1986"/>
      <c r="K85" s="1972"/>
      <c r="L85" s="1314"/>
      <c r="M85" s="1314"/>
      <c r="N85" s="1314"/>
      <c r="O85" s="1314"/>
      <c r="P85" s="1314"/>
      <c r="Q85" s="1314"/>
      <c r="R85" s="1314"/>
      <c r="S85" s="317"/>
      <c r="T85" s="317"/>
      <c r="U85" s="317"/>
      <c r="V85" s="317"/>
      <c r="W85" s="1315"/>
      <c r="X85" s="1275"/>
      <c r="Y85" s="1275"/>
      <c r="Z85" s="1275"/>
      <c r="AA85" s="1275"/>
      <c r="AB85" s="1275"/>
      <c r="AC85" s="1275"/>
      <c r="AD85" s="1275"/>
      <c r="AE85" s="1275"/>
      <c r="AF85" s="1275"/>
      <c r="AG85" s="1275"/>
      <c r="AH85" s="1275"/>
      <c r="AI85" s="1275"/>
      <c r="AJ85" s="1275"/>
      <c r="AK85" s="1275"/>
      <c r="AL85" s="1275"/>
      <c r="AM85" s="1275"/>
      <c r="AN85" s="1275"/>
      <c r="AO85" s="1275"/>
      <c r="AP85" s="1275"/>
      <c r="AQ85" s="1275"/>
    </row>
    <row s="1877" customFormat="1" customHeight="1" ht="17.25" hidden="1">
      <c r="A86" s="306"/>
      <c r="C86" s="305"/>
      <c r="D86" s="1974"/>
      <c r="E86" s="1976"/>
      <c r="F86" s="1979"/>
      <c r="G86" s="1976"/>
      <c r="H86" s="1316"/>
      <c r="I86" s="1317"/>
      <c r="J86" s="1317"/>
      <c r="K86" s="1317"/>
      <c r="L86" s="1317"/>
      <c r="M86" s="1317"/>
      <c r="N86" s="1317"/>
      <c r="O86" s="1317"/>
      <c r="P86" s="1317"/>
      <c r="Q86" s="1317"/>
      <c r="R86" s="1317"/>
      <c r="S86" s="1318"/>
      <c r="T86" s="1318"/>
      <c r="U86" s="1318"/>
      <c r="V86" s="1318"/>
      <c r="W86" s="1319"/>
      <c r="X86" s="1275"/>
      <c r="Y86" s="1275"/>
      <c r="Z86" s="1275"/>
      <c r="AA86" s="1275"/>
      <c r="AB86" s="1275"/>
      <c r="AC86" s="1275"/>
      <c r="AD86" s="1275"/>
      <c r="AE86" s="1275"/>
      <c r="AF86" s="1275"/>
      <c r="AG86" s="1275"/>
      <c r="AH86" s="1275"/>
      <c r="AI86" s="1275"/>
      <c r="AJ86" s="1275"/>
      <c r="AK86" s="1275"/>
      <c r="AL86" s="1275"/>
      <c r="AM86" s="1275"/>
      <c r="AN86" s="1275"/>
      <c r="AO86" s="1275"/>
      <c r="AP86" s="1275"/>
      <c r="AQ86" s="1275"/>
    </row>
    <row s="1877" customFormat="1" customHeight="1" ht="17.25" hidden="1">
      <c r="A87" s="306"/>
      <c r="C87" s="188"/>
      <c r="D87" s="1973">
        <v>4</v>
      </c>
      <c r="E87" s="1975" t="s">
        <v>244</v>
      </c>
      <c r="F87" s="1977" t="s">
        <v>56</v>
      </c>
      <c r="G87" s="1975"/>
      <c r="H87" s="1980"/>
      <c r="I87" s="1982"/>
      <c r="J87" s="1984"/>
      <c r="K87" s="1971"/>
      <c r="L87" s="1971"/>
      <c r="M87" s="1971"/>
      <c r="N87" s="1987"/>
      <c r="O87" s="1971"/>
      <c r="P87" s="1971"/>
      <c r="Q87" s="1971"/>
      <c r="R87" s="1990"/>
      <c r="S87" s="1971"/>
      <c r="T87" s="1460"/>
      <c r="U87" s="1460"/>
      <c r="V87" s="1462"/>
      <c r="W87" s="1313"/>
      <c r="X87" s="1283"/>
      <c r="Y87" s="1283"/>
      <c r="Z87" s="1283"/>
      <c r="AA87" s="1283"/>
      <c r="AB87" s="1283"/>
      <c r="AC87" s="1283" t="s">
        <v>245</v>
      </c>
      <c r="AD87" s="1283" t="s">
        <v>246</v>
      </c>
      <c r="AE87" s="1283" t="s">
        <v>247</v>
      </c>
      <c r="AF87" s="1283" t="s">
        <v>248</v>
      </c>
      <c r="AG87" s="1283"/>
      <c r="AH87" s="1283" t="str">
        <f>IF($E$87=0,"",$E$87)</f>
        <v>Тариф на подвоз воды</v>
      </c>
      <c r="AI87" s="1283" t="str">
        <f>IF($G$87=0,"",$G$87)</f>
        <v/>
      </c>
      <c r="AJ87" s="1283" t="str">
        <f>IF($J$87=0,"",$J$87)</f>
        <v/>
      </c>
      <c r="AK87" s="1283" t="str">
        <f>IF($K$87="нет","без дифференциации",IF($N$87=0,"",$N$87))</f>
        <v/>
      </c>
      <c r="AL87" s="1283" t="str">
        <f>IF($O$87="нет","без дифференциации",IF($R$87=0,"",$R$87))</f>
        <v/>
      </c>
      <c r="AM87" s="1283" t="str">
        <f>IF($S$87="нет","без дифференциации",IF($V$87=0,"",$V$87))</f>
        <v/>
      </c>
      <c r="AN87" s="1797">
        <f>$I$87</f>
        <v>0</v>
      </c>
      <c r="AO87" s="1283" t="str">
        <f>$I$87&amp;"."&amp;$M$87</f>
        <v>.</v>
      </c>
      <c r="AP87" s="1275" t="str">
        <f>$I$87&amp;"."&amp;$M$87&amp;"."&amp;$Q$87</f>
        <v>..</v>
      </c>
      <c r="AQ87" s="1275" t="str">
        <f>$I$87&amp;"."&amp;$M$87&amp;"."&amp;$Q$87&amp;"."&amp;$U$87</f>
        <v>...</v>
      </c>
    </row>
    <row s="1877" customFormat="1" customHeight="1" ht="17.25" hidden="1">
      <c r="A88" s="306"/>
      <c r="C88" s="305"/>
      <c r="D88" s="1973"/>
      <c r="E88" s="1975"/>
      <c r="F88" s="1978"/>
      <c r="G88" s="1975"/>
      <c r="H88" s="1981"/>
      <c r="I88" s="1983"/>
      <c r="J88" s="1985"/>
      <c r="K88" s="1972"/>
      <c r="L88" s="1972"/>
      <c r="M88" s="1972"/>
      <c r="N88" s="1988"/>
      <c r="O88" s="1972"/>
      <c r="P88" s="1972"/>
      <c r="Q88" s="1972"/>
      <c r="R88" s="1989"/>
      <c r="S88" s="1972"/>
      <c r="T88" s="1314"/>
      <c r="U88" s="1314"/>
      <c r="V88" s="1314"/>
      <c r="W88" s="1315"/>
      <c r="X88" s="1275"/>
      <c r="Y88" s="1275"/>
      <c r="Z88" s="1275"/>
      <c r="AA88" s="1275"/>
      <c r="AB88" s="1275"/>
      <c r="AC88" s="1275"/>
      <c r="AD88" s="1275"/>
      <c r="AE88" s="1275"/>
      <c r="AF88" s="1275"/>
      <c r="AG88" s="1275"/>
      <c r="AH88" s="1275"/>
      <c r="AI88" s="1275"/>
      <c r="AJ88" s="1275"/>
      <c r="AK88" s="1275"/>
      <c r="AL88" s="1275"/>
      <c r="AM88" s="1275"/>
      <c r="AN88" s="1275"/>
      <c r="AO88" s="1275"/>
      <c r="AP88" s="1275"/>
      <c r="AQ88" s="1275"/>
    </row>
    <row s="1877" customFormat="1" customHeight="1" ht="17.25" hidden="1">
      <c r="A89" s="306"/>
      <c r="C89" s="305"/>
      <c r="D89" s="1974"/>
      <c r="E89" s="1976"/>
      <c r="F89" s="1978"/>
      <c r="G89" s="1976"/>
      <c r="H89" s="1981"/>
      <c r="I89" s="1983"/>
      <c r="J89" s="1986"/>
      <c r="K89" s="1972"/>
      <c r="L89" s="1972"/>
      <c r="M89" s="1972"/>
      <c r="N89" s="1989"/>
      <c r="O89" s="1972"/>
      <c r="P89" s="1461"/>
      <c r="Q89" s="1314"/>
      <c r="R89" s="1314"/>
      <c r="S89" s="317"/>
      <c r="T89" s="317"/>
      <c r="U89" s="317"/>
      <c r="V89" s="317"/>
      <c r="W89" s="1315"/>
      <c r="X89" s="1275"/>
      <c r="Y89" s="1275"/>
      <c r="Z89" s="1275"/>
      <c r="AA89" s="1275"/>
      <c r="AB89" s="1275"/>
      <c r="AC89" s="1275"/>
      <c r="AD89" s="1275"/>
      <c r="AE89" s="1275"/>
      <c r="AF89" s="1275"/>
      <c r="AG89" s="1275"/>
      <c r="AH89" s="1275"/>
      <c r="AI89" s="1275"/>
      <c r="AJ89" s="1275"/>
      <c r="AK89" s="1275"/>
      <c r="AL89" s="1275"/>
      <c r="AM89" s="1275"/>
      <c r="AN89" s="1275"/>
      <c r="AO89" s="1275"/>
      <c r="AP89" s="1275"/>
      <c r="AQ89" s="1275"/>
    </row>
    <row s="1877" customFormat="1" customHeight="1" ht="17.25" hidden="1">
      <c r="A90" s="306"/>
      <c r="C90" s="305"/>
      <c r="D90" s="1974"/>
      <c r="E90" s="1976"/>
      <c r="F90" s="1978"/>
      <c r="G90" s="1976"/>
      <c r="H90" s="1981"/>
      <c r="I90" s="1983"/>
      <c r="J90" s="1986"/>
      <c r="K90" s="1972"/>
      <c r="L90" s="1314"/>
      <c r="M90" s="1314"/>
      <c r="N90" s="1314"/>
      <c r="O90" s="1314"/>
      <c r="P90" s="1314"/>
      <c r="Q90" s="1314"/>
      <c r="R90" s="1314"/>
      <c r="S90" s="317"/>
      <c r="T90" s="317"/>
      <c r="U90" s="317"/>
      <c r="V90" s="317"/>
      <c r="W90" s="1315"/>
      <c r="X90" s="1275"/>
      <c r="Y90" s="1275"/>
      <c r="Z90" s="1275"/>
      <c r="AA90" s="1275"/>
      <c r="AB90" s="1275"/>
      <c r="AC90" s="1275"/>
      <c r="AD90" s="1275"/>
      <c r="AE90" s="1275"/>
      <c r="AF90" s="1275"/>
      <c r="AG90" s="1275"/>
      <c r="AH90" s="1275"/>
      <c r="AI90" s="1275"/>
      <c r="AJ90" s="1275"/>
      <c r="AK90" s="1275"/>
      <c r="AL90" s="1275"/>
      <c r="AM90" s="1275"/>
      <c r="AN90" s="1275"/>
      <c r="AO90" s="1275"/>
      <c r="AP90" s="1275"/>
      <c r="AQ90" s="1275"/>
    </row>
    <row s="1877" customFormat="1" customHeight="1" ht="17.25" hidden="1">
      <c r="A91" s="306"/>
      <c r="C91" s="305"/>
      <c r="D91" s="1974"/>
      <c r="E91" s="1976"/>
      <c r="F91" s="1979"/>
      <c r="G91" s="1976"/>
      <c r="H91" s="1316"/>
      <c r="I91" s="1317"/>
      <c r="J91" s="1317"/>
      <c r="K91" s="1317"/>
      <c r="L91" s="1317"/>
      <c r="M91" s="1317"/>
      <c r="N91" s="1317"/>
      <c r="O91" s="1317"/>
      <c r="P91" s="1317"/>
      <c r="Q91" s="1317"/>
      <c r="R91" s="1317"/>
      <c r="S91" s="1318"/>
      <c r="T91" s="1318"/>
      <c r="U91" s="1318"/>
      <c r="V91" s="1318"/>
      <c r="W91" s="1319"/>
      <c r="X91" s="1275"/>
      <c r="Y91" s="1275"/>
      <c r="Z91" s="1275"/>
      <c r="AA91" s="1275"/>
      <c r="AB91" s="1275"/>
      <c r="AC91" s="1275"/>
      <c r="AD91" s="1275"/>
      <c r="AE91" s="1275"/>
      <c r="AF91" s="1275"/>
      <c r="AG91" s="1275"/>
      <c r="AH91" s="1275"/>
      <c r="AI91" s="1275"/>
      <c r="AJ91" s="1275"/>
      <c r="AK91" s="1275"/>
      <c r="AL91" s="1275"/>
      <c r="AM91" s="1275"/>
      <c r="AN91" s="1275"/>
      <c r="AO91" s="1275"/>
      <c r="AP91" s="1275"/>
      <c r="AQ91" s="1275"/>
    </row>
    <row s="1877" customFormat="1" customHeight="1" ht="17.25" hidden="1">
      <c r="A92" s="306"/>
      <c r="C92" s="188"/>
      <c r="D92" s="1973">
        <v>5</v>
      </c>
      <c r="E92" s="1975" t="s">
        <v>249</v>
      </c>
      <c r="F92" s="1977" t="s">
        <v>56</v>
      </c>
      <c r="G92" s="1975"/>
      <c r="H92" s="1980"/>
      <c r="I92" s="1982"/>
      <c r="J92" s="1984"/>
      <c r="K92" s="1971"/>
      <c r="L92" s="1971"/>
      <c r="M92" s="1971"/>
      <c r="N92" s="1987"/>
      <c r="O92" s="1971"/>
      <c r="P92" s="1971"/>
      <c r="Q92" s="1971"/>
      <c r="R92" s="1990"/>
      <c r="S92" s="1971"/>
      <c r="T92" s="1487"/>
      <c r="U92" s="1487"/>
      <c r="V92" s="1489"/>
      <c r="W92" s="1313"/>
      <c r="X92" s="1283"/>
      <c r="Y92" s="1283"/>
      <c r="Z92" s="1283"/>
      <c r="AA92" s="1283"/>
      <c r="AB92" s="1283"/>
      <c r="AC92" s="1283" t="s">
        <v>250</v>
      </c>
      <c r="AD92" s="1283" t="s">
        <v>251</v>
      </c>
      <c r="AE92" s="1283" t="s">
        <v>252</v>
      </c>
      <c r="AF92" s="1283" t="s">
        <v>253</v>
      </c>
      <c r="AG92" s="1283"/>
      <c r="AH92" s="1283" t="str">
        <f>IF($E$92=0,"",$E$92)</f>
        <v>Тариф на подключение (технологическое присоединение) к централизованной системе холодного водоснабжения</v>
      </c>
      <c r="AI92" s="1283" t="str">
        <f>IF($G$92=0,"",$G$92)</f>
        <v/>
      </c>
      <c r="AJ92" s="1283" t="str">
        <f>IF($J$92=0,"",$J$92)</f>
        <v/>
      </c>
      <c r="AK92" s="1283" t="str">
        <f>IF($K$92="нет","без дифференциации",IF($N$92=0,"",$N$92))</f>
        <v/>
      </c>
      <c r="AL92" s="1283" t="str">
        <f>IF($O$92="нет","без дифференциации",IF($R$92=0,"",$R$92))</f>
        <v/>
      </c>
      <c r="AM92" s="1283" t="str">
        <f>IF($S$92="нет","без дифференциации",IF($V$92=0,"",$V$92))</f>
        <v/>
      </c>
      <c r="AN92" s="1797">
        <f>$I$92</f>
        <v>0</v>
      </c>
      <c r="AO92" s="1283" t="str">
        <f>$I$92&amp;"."&amp;$M$92</f>
        <v>.</v>
      </c>
      <c r="AP92" s="1275" t="str">
        <f>$I$92&amp;"."&amp;$M$92&amp;"."&amp;$Q$92</f>
        <v>..</v>
      </c>
      <c r="AQ92" s="1275" t="str">
        <f>$I$92&amp;"."&amp;$M$92&amp;"."&amp;$Q$92&amp;"."&amp;$U$92</f>
        <v>...</v>
      </c>
    </row>
    <row s="1877" customFormat="1" customHeight="1" ht="17.25" hidden="1">
      <c r="A93" s="306"/>
      <c r="C93" s="305"/>
      <c r="D93" s="1973"/>
      <c r="E93" s="1975"/>
      <c r="F93" s="1978"/>
      <c r="G93" s="1975"/>
      <c r="H93" s="1981"/>
      <c r="I93" s="1983"/>
      <c r="J93" s="1985"/>
      <c r="K93" s="1972"/>
      <c r="L93" s="1972"/>
      <c r="M93" s="1972"/>
      <c r="N93" s="1988"/>
      <c r="O93" s="1972"/>
      <c r="P93" s="1972"/>
      <c r="Q93" s="1972"/>
      <c r="R93" s="1989"/>
      <c r="S93" s="1972"/>
      <c r="T93" s="1314"/>
      <c r="U93" s="1314"/>
      <c r="V93" s="1314"/>
      <c r="W93" s="1315"/>
      <c r="X93" s="1275"/>
      <c r="Y93" s="1275"/>
      <c r="Z93" s="1275"/>
      <c r="AA93" s="1275"/>
      <c r="AB93" s="1275"/>
      <c r="AC93" s="1275"/>
      <c r="AD93" s="1275"/>
      <c r="AE93" s="1275"/>
      <c r="AF93" s="1275"/>
      <c r="AG93" s="1275"/>
      <c r="AH93" s="1275"/>
      <c r="AI93" s="1275"/>
      <c r="AJ93" s="1275"/>
      <c r="AK93" s="1275"/>
      <c r="AL93" s="1275"/>
      <c r="AM93" s="1275"/>
      <c r="AN93" s="1275"/>
      <c r="AO93" s="1275"/>
      <c r="AP93" s="1275"/>
      <c r="AQ93" s="1275"/>
    </row>
    <row s="1877" customFormat="1" customHeight="1" ht="17.25" hidden="1">
      <c r="A94" s="306"/>
      <c r="C94" s="305"/>
      <c r="D94" s="1974"/>
      <c r="E94" s="1976"/>
      <c r="F94" s="1978"/>
      <c r="G94" s="1976"/>
      <c r="H94" s="1981"/>
      <c r="I94" s="1983"/>
      <c r="J94" s="1986"/>
      <c r="K94" s="1972"/>
      <c r="L94" s="1972"/>
      <c r="M94" s="1972"/>
      <c r="N94" s="1989"/>
      <c r="O94" s="1972"/>
      <c r="P94" s="1488"/>
      <c r="Q94" s="1314"/>
      <c r="R94" s="1314"/>
      <c r="S94" s="317"/>
      <c r="T94" s="317"/>
      <c r="U94" s="317"/>
      <c r="V94" s="317"/>
      <c r="W94" s="1315"/>
      <c r="X94" s="1275"/>
      <c r="Y94" s="1275"/>
      <c r="Z94" s="1275"/>
      <c r="AA94" s="1275"/>
      <c r="AB94" s="1275"/>
      <c r="AC94" s="1275"/>
      <c r="AD94" s="1275"/>
      <c r="AE94" s="1275"/>
      <c r="AF94" s="1275"/>
      <c r="AG94" s="1275"/>
      <c r="AH94" s="1275"/>
      <c r="AI94" s="1275"/>
      <c r="AJ94" s="1275"/>
      <c r="AK94" s="1275"/>
      <c r="AL94" s="1275"/>
      <c r="AM94" s="1275"/>
      <c r="AN94" s="1275"/>
      <c r="AO94" s="1275"/>
      <c r="AP94" s="1275"/>
      <c r="AQ94" s="1275"/>
    </row>
    <row s="1877" customFormat="1" customHeight="1" ht="17.25" hidden="1">
      <c r="A95" s="306"/>
      <c r="C95" s="305"/>
      <c r="D95" s="1974"/>
      <c r="E95" s="1976"/>
      <c r="F95" s="1978"/>
      <c r="G95" s="1976"/>
      <c r="H95" s="1981"/>
      <c r="I95" s="1983"/>
      <c r="J95" s="1986"/>
      <c r="K95" s="1972"/>
      <c r="L95" s="1314"/>
      <c r="M95" s="1314"/>
      <c r="N95" s="1314"/>
      <c r="O95" s="1314"/>
      <c r="P95" s="1314"/>
      <c r="Q95" s="1314"/>
      <c r="R95" s="1314"/>
      <c r="S95" s="317"/>
      <c r="T95" s="317"/>
      <c r="U95" s="317"/>
      <c r="V95" s="317"/>
      <c r="W95" s="1315"/>
      <c r="X95" s="1275"/>
      <c r="Y95" s="1275"/>
      <c r="Z95" s="1275"/>
      <c r="AA95" s="1275"/>
      <c r="AB95" s="1275"/>
      <c r="AC95" s="1275"/>
      <c r="AD95" s="1275"/>
      <c r="AE95" s="1275"/>
      <c r="AF95" s="1275"/>
      <c r="AG95" s="1275"/>
      <c r="AH95" s="1275"/>
      <c r="AI95" s="1275"/>
      <c r="AJ95" s="1275"/>
      <c r="AK95" s="1275"/>
      <c r="AL95" s="1275"/>
      <c r="AM95" s="1275"/>
      <c r="AN95" s="1275"/>
      <c r="AO95" s="1275"/>
      <c r="AP95" s="1275"/>
      <c r="AQ95" s="1275"/>
    </row>
    <row s="1877" customFormat="1" customHeight="1" ht="17.25" hidden="1">
      <c r="A96" s="306"/>
      <c r="C96" s="305"/>
      <c r="D96" s="1974"/>
      <c r="E96" s="1976"/>
      <c r="F96" s="1979"/>
      <c r="G96" s="1976"/>
      <c r="H96" s="1316"/>
      <c r="I96" s="1317"/>
      <c r="J96" s="1317"/>
      <c r="K96" s="1317"/>
      <c r="L96" s="1317"/>
      <c r="M96" s="1317"/>
      <c r="N96" s="1317"/>
      <c r="O96" s="1317"/>
      <c r="P96" s="1317"/>
      <c r="Q96" s="1317"/>
      <c r="R96" s="1317"/>
      <c r="S96" s="1318"/>
      <c r="T96" s="1318"/>
      <c r="U96" s="1318"/>
      <c r="V96" s="1318"/>
      <c r="W96" s="1319"/>
      <c r="X96" s="1275"/>
      <c r="Y96" s="1275"/>
      <c r="Z96" s="1275"/>
      <c r="AA96" s="1275"/>
      <c r="AB96" s="1275"/>
      <c r="AC96" s="1275"/>
      <c r="AD96" s="1275"/>
      <c r="AE96" s="1275"/>
      <c r="AF96" s="1275"/>
      <c r="AG96" s="1275"/>
      <c r="AH96" s="1275"/>
      <c r="AI96" s="1275"/>
      <c r="AJ96" s="1275"/>
      <c r="AK96" s="1275"/>
      <c r="AL96" s="1275"/>
      <c r="AM96" s="1275"/>
      <c r="AN96" s="1275"/>
      <c r="AO96" s="1275"/>
      <c r="AP96" s="1275"/>
      <c r="AQ96" s="1275"/>
    </row>
    <row s="1877" customFormat="1" customHeight="1" ht="11.25" hidden="1">
      <c r="A97" s="256"/>
      <c r="B97" s="256"/>
      <c r="Y97" s="1275"/>
      <c r="Z97" s="1275"/>
      <c r="AA97" s="1275"/>
      <c r="AB97" s="1275"/>
      <c r="AC97" s="1275"/>
      <c r="AD97" s="1275"/>
      <c r="AE97" s="1275"/>
      <c r="AF97" s="1275"/>
      <c r="AG97" s="1275"/>
      <c r="AH97" s="1275"/>
      <c r="AI97" s="1275"/>
      <c r="AJ97" s="1275"/>
      <c r="AK97" s="1275"/>
      <c r="AL97" s="1275"/>
      <c r="AM97" s="1275"/>
      <c r="AN97" s="1275"/>
      <c r="AO97" s="1275"/>
      <c r="AP97" s="1275"/>
      <c r="AQ97" s="1275"/>
    </row>
    <row s="1877" customFormat="1" customHeight="1" ht="17.25" hidden="1">
      <c r="A98" s="306"/>
      <c r="C98" s="188"/>
      <c r="D98" s="1973">
        <v>1</v>
      </c>
      <c r="E98" s="1975" t="s">
        <v>254</v>
      </c>
      <c r="F98" s="1977" t="s">
        <v>56</v>
      </c>
      <c r="G98" s="1975"/>
      <c r="H98" s="1980"/>
      <c r="I98" s="1982"/>
      <c r="J98" s="1984"/>
      <c r="K98" s="1971"/>
      <c r="L98" s="1971"/>
      <c r="M98" s="1971"/>
      <c r="N98" s="1987"/>
      <c r="O98" s="1971"/>
      <c r="P98" s="1971"/>
      <c r="Q98" s="1971"/>
      <c r="R98" s="1990"/>
      <c r="S98" s="1971"/>
      <c r="T98" s="1487"/>
      <c r="U98" s="1487"/>
      <c r="V98" s="1489"/>
      <c r="W98" s="1313"/>
      <c r="Y98" s="1283"/>
      <c r="Z98" s="1283"/>
      <c r="AA98" s="1283"/>
      <c r="AB98" s="1283"/>
      <c r="AC98" s="1283" t="s">
        <v>255</v>
      </c>
      <c r="AD98" s="1283" t="s">
        <v>256</v>
      </c>
      <c r="AE98" s="1283" t="s">
        <v>257</v>
      </c>
      <c r="AF98" s="1283" t="s">
        <v>258</v>
      </c>
      <c r="AG98" s="1283"/>
      <c r="AH98" s="1283" t="str">
        <f>IF($E$98=0,"",$E$98)</f>
        <v>Тариф на горячую воду (горячее водоснабжение)</v>
      </c>
      <c r="AI98" s="1283" t="str">
        <f>IF($G$98=0,"",$G$98)</f>
        <v/>
      </c>
      <c r="AJ98" s="1283" t="str">
        <f>IF($J$98=0,"",$J$98)</f>
        <v/>
      </c>
      <c r="AK98" s="1283" t="str">
        <f>IF($K$98="нет","без дифференциации",IF($N$98=0,"",$N$98))</f>
        <v/>
      </c>
      <c r="AL98" s="1283" t="str">
        <f>IF($O$98="нет","без дифференциации",IF($R$98=0,"",$R$98))</f>
        <v/>
      </c>
      <c r="AM98" s="1283" t="str">
        <f>IF($S$98="нет","без дифференциации",IF($V$98=0,"",$V$98))</f>
        <v/>
      </c>
      <c r="AN98" s="1283">
        <f>$I$98</f>
        <v>0</v>
      </c>
      <c r="AO98" s="1283" t="str">
        <f>$I$98&amp;"."&amp;$M$98</f>
        <v>.</v>
      </c>
      <c r="AP98" s="1283" t="str">
        <f>$I$98&amp;"."&amp;$M$98&amp;"."&amp;$Q$98</f>
        <v>..</v>
      </c>
      <c r="AQ98" s="1283" t="str">
        <f>$I$98&amp;"."&amp;$M$98&amp;"."&amp;$Q$98&amp;"."&amp;$U$98</f>
        <v>...</v>
      </c>
    </row>
    <row s="1877" customFormat="1" customHeight="1" ht="17.25" hidden="1">
      <c r="A99" s="306"/>
      <c r="C99" s="305"/>
      <c r="D99" s="1973"/>
      <c r="E99" s="1975"/>
      <c r="F99" s="1978"/>
      <c r="G99" s="1975"/>
      <c r="H99" s="1981"/>
      <c r="I99" s="1983"/>
      <c r="J99" s="1985"/>
      <c r="K99" s="1972"/>
      <c r="L99" s="1972"/>
      <c r="M99" s="1972"/>
      <c r="N99" s="1988"/>
      <c r="O99" s="1972"/>
      <c r="P99" s="1972"/>
      <c r="Q99" s="1972"/>
      <c r="R99" s="1989"/>
      <c r="S99" s="1972"/>
      <c r="T99" s="1314"/>
      <c r="U99" s="1314"/>
      <c r="V99" s="1314"/>
      <c r="W99" s="1315"/>
      <c r="Y99" s="1275"/>
      <c r="Z99" s="1275"/>
      <c r="AA99" s="1275"/>
      <c r="AB99" s="1275"/>
      <c r="AC99" s="1275"/>
      <c r="AD99" s="1275"/>
      <c r="AE99" s="1275"/>
      <c r="AF99" s="1275"/>
      <c r="AG99" s="1275"/>
      <c r="AH99" s="1275"/>
      <c r="AI99" s="1275"/>
      <c r="AJ99" s="1275"/>
      <c r="AK99" s="1275"/>
      <c r="AL99" s="1275"/>
      <c r="AM99" s="1275"/>
      <c r="AN99" s="1275"/>
      <c r="AO99" s="1275"/>
      <c r="AP99" s="1275"/>
      <c r="AQ99" s="1275"/>
    </row>
    <row s="1877" customFormat="1" customHeight="1" ht="17.25" hidden="1">
      <c r="A100" s="306"/>
      <c r="C100" s="188"/>
      <c r="D100" s="1973"/>
      <c r="E100" s="1975"/>
      <c r="F100" s="1978"/>
      <c r="G100" s="1975"/>
      <c r="H100" s="1981"/>
      <c r="I100" s="1983"/>
      <c r="J100" s="1986"/>
      <c r="K100" s="1972"/>
      <c r="L100" s="1972"/>
      <c r="M100" s="1972"/>
      <c r="N100" s="1989"/>
      <c r="O100" s="1972"/>
      <c r="P100" s="1488"/>
      <c r="Q100" s="1314"/>
      <c r="R100" s="1314"/>
      <c r="S100" s="317"/>
      <c r="T100" s="317"/>
      <c r="U100" s="317"/>
      <c r="V100" s="317"/>
      <c r="W100" s="1315"/>
      <c r="Y100" s="1283"/>
      <c r="Z100" s="1283"/>
      <c r="AA100" s="1283"/>
      <c r="AB100" s="1283"/>
      <c r="AC100" s="1283"/>
      <c r="AD100" s="1283"/>
      <c r="AE100" s="1283"/>
      <c r="AF100" s="1283"/>
      <c r="AG100" s="1283"/>
      <c r="AH100" s="1283"/>
      <c r="AI100" s="1283"/>
      <c r="AJ100" s="1283"/>
      <c r="AK100" s="1283"/>
      <c r="AL100" s="1283"/>
      <c r="AM100" s="1283"/>
      <c r="AN100" s="1283"/>
      <c r="AO100" s="1283"/>
      <c r="AP100" s="1283"/>
      <c r="AQ100" s="1283"/>
    </row>
    <row s="1877" customFormat="1" customHeight="1" ht="17.25" hidden="1">
      <c r="A101" s="306"/>
      <c r="C101" s="305"/>
      <c r="D101" s="1973"/>
      <c r="E101" s="1975"/>
      <c r="F101" s="1978"/>
      <c r="G101" s="1975"/>
      <c r="H101" s="1981"/>
      <c r="I101" s="1983"/>
      <c r="J101" s="1986"/>
      <c r="K101" s="1972"/>
      <c r="L101" s="1314"/>
      <c r="M101" s="1314"/>
      <c r="N101" s="1314"/>
      <c r="O101" s="1314"/>
      <c r="P101" s="1314"/>
      <c r="Q101" s="1314"/>
      <c r="R101" s="1314"/>
      <c r="S101" s="317"/>
      <c r="T101" s="317"/>
      <c r="U101" s="317"/>
      <c r="V101" s="317"/>
      <c r="W101" s="1315"/>
      <c r="Y101" s="1275"/>
      <c r="Z101" s="1275"/>
      <c r="AA101" s="1275"/>
      <c r="AB101" s="1275"/>
      <c r="AC101" s="1275"/>
      <c r="AD101" s="1275"/>
      <c r="AE101" s="1275"/>
      <c r="AF101" s="1275"/>
      <c r="AG101" s="1275"/>
      <c r="AH101" s="1275"/>
      <c r="AI101" s="1275"/>
      <c r="AJ101" s="1275"/>
      <c r="AK101" s="1275"/>
      <c r="AL101" s="1275"/>
      <c r="AM101" s="1275"/>
      <c r="AN101" s="1275"/>
      <c r="AO101" s="1275"/>
      <c r="AP101" s="1275"/>
      <c r="AQ101" s="1275"/>
    </row>
    <row s="1877" customFormat="1" customHeight="1" ht="17.25" hidden="1">
      <c r="A102" s="306"/>
      <c r="C102" s="305"/>
      <c r="D102" s="1974"/>
      <c r="E102" s="1976"/>
      <c r="F102" s="1979"/>
      <c r="G102" s="1976"/>
      <c r="H102" s="1316"/>
      <c r="I102" s="1317"/>
      <c r="J102" s="1317"/>
      <c r="K102" s="1317"/>
      <c r="L102" s="1317"/>
      <c r="M102" s="1317"/>
      <c r="N102" s="1317"/>
      <c r="O102" s="1317"/>
      <c r="P102" s="1317"/>
      <c r="Q102" s="1317"/>
      <c r="R102" s="1317"/>
      <c r="S102" s="1318"/>
      <c r="T102" s="1318"/>
      <c r="U102" s="1318"/>
      <c r="V102" s="1318"/>
      <c r="W102" s="1319"/>
      <c r="Y102" s="1275"/>
      <c r="Z102" s="1275"/>
      <c r="AA102" s="1275"/>
      <c r="AB102" s="1275"/>
      <c r="AC102" s="1275"/>
      <c r="AD102" s="1275"/>
      <c r="AE102" s="1275"/>
      <c r="AF102" s="1275"/>
      <c r="AG102" s="1275"/>
      <c r="AH102" s="1275"/>
      <c r="AI102" s="1275"/>
      <c r="AJ102" s="1275"/>
      <c r="AK102" s="1275"/>
      <c r="AL102" s="1275"/>
      <c r="AM102" s="1275"/>
      <c r="AN102" s="1275"/>
      <c r="AO102" s="1275"/>
      <c r="AP102" s="1275"/>
      <c r="AQ102" s="1275"/>
    </row>
    <row s="1877" customFormat="1" customHeight="1" ht="17.25" hidden="1">
      <c r="A103" s="306"/>
      <c r="C103" s="188"/>
      <c r="D103" s="1973">
        <v>2</v>
      </c>
      <c r="E103" s="1975" t="s">
        <v>259</v>
      </c>
      <c r="F103" s="1977" t="s">
        <v>56</v>
      </c>
      <c r="G103" s="1975"/>
      <c r="H103" s="1980"/>
      <c r="I103" s="1982"/>
      <c r="J103" s="1984"/>
      <c r="K103" s="1971"/>
      <c r="L103" s="1971"/>
      <c r="M103" s="1971"/>
      <c r="N103" s="1987"/>
      <c r="O103" s="1971"/>
      <c r="P103" s="1971"/>
      <c r="Q103" s="1971"/>
      <c r="R103" s="1990"/>
      <c r="S103" s="1971"/>
      <c r="T103" s="1487"/>
      <c r="U103" s="1487"/>
      <c r="V103" s="1489"/>
      <c r="W103" s="1313"/>
      <c r="X103" s="1283"/>
      <c r="Y103" s="1283"/>
      <c r="Z103" s="1283"/>
      <c r="AA103" s="1283"/>
      <c r="AB103" s="1283"/>
      <c r="AC103" s="1283" t="s">
        <v>260</v>
      </c>
      <c r="AD103" s="1283" t="s">
        <v>261</v>
      </c>
      <c r="AE103" s="1283" t="s">
        <v>262</v>
      </c>
      <c r="AF103" s="1283" t="s">
        <v>263</v>
      </c>
      <c r="AG103" s="1283"/>
      <c r="AH103" s="1283" t="str">
        <f>IF($E$103=0,"",$E$103)</f>
        <v>Тариф на транспортировку горячей воды</v>
      </c>
      <c r="AI103" s="1283" t="str">
        <f>IF($G$103=0,"",$G$103)</f>
        <v/>
      </c>
      <c r="AJ103" s="1283" t="str">
        <f>IF($J$103=0,"",$J$103)</f>
        <v/>
      </c>
      <c r="AK103" s="1283" t="str">
        <f>IF($K$103="нет","без дифференциации",IF($N$103=0,"",$N$103))</f>
        <v/>
      </c>
      <c r="AL103" s="1283" t="str">
        <f>IF($O$103="нет","без дифференциации",IF($R$103=0,"",$R$103))</f>
        <v/>
      </c>
      <c r="AM103" s="1283" t="str">
        <f>IF($S$103="нет","без дифференциации",IF($V$103=0,"",$V$103))</f>
        <v/>
      </c>
      <c r="AN103" s="1797">
        <f>$I$103</f>
        <v>0</v>
      </c>
      <c r="AO103" s="1283" t="str">
        <f>$I$103&amp;"."&amp;$M$103</f>
        <v>.</v>
      </c>
      <c r="AP103" s="1275" t="str">
        <f>$I$103&amp;"."&amp;$M$103&amp;"."&amp;$Q$103</f>
        <v>..</v>
      </c>
      <c r="AQ103" s="1275" t="str">
        <f>$I$103&amp;"."&amp;$M$103&amp;"."&amp;$Q$103&amp;"."&amp;$U$103</f>
        <v>...</v>
      </c>
    </row>
    <row s="1877" customFormat="1" customHeight="1" ht="17.25" hidden="1">
      <c r="A104" s="306"/>
      <c r="C104" s="305"/>
      <c r="D104" s="1973"/>
      <c r="E104" s="1975"/>
      <c r="F104" s="1978"/>
      <c r="G104" s="1975"/>
      <c r="H104" s="1981"/>
      <c r="I104" s="1983"/>
      <c r="J104" s="1985"/>
      <c r="K104" s="1972"/>
      <c r="L104" s="1972"/>
      <c r="M104" s="1972"/>
      <c r="N104" s="1988"/>
      <c r="O104" s="1972"/>
      <c r="P104" s="1972"/>
      <c r="Q104" s="1972"/>
      <c r="R104" s="1989"/>
      <c r="S104" s="1972"/>
      <c r="T104" s="1314"/>
      <c r="U104" s="1314"/>
      <c r="V104" s="1314"/>
      <c r="W104" s="1315"/>
      <c r="X104" s="1275"/>
      <c r="Y104" s="1275"/>
      <c r="Z104" s="1275"/>
      <c r="AA104" s="1275"/>
      <c r="AB104" s="1275"/>
      <c r="AC104" s="1275"/>
      <c r="AD104" s="1275"/>
      <c r="AE104" s="1275"/>
      <c r="AF104" s="1275"/>
      <c r="AG104" s="1275"/>
      <c r="AH104" s="1275"/>
      <c r="AI104" s="1275"/>
      <c r="AJ104" s="1275"/>
      <c r="AK104" s="1275"/>
      <c r="AL104" s="1275"/>
      <c r="AM104" s="1275"/>
      <c r="AN104" s="1275"/>
      <c r="AO104" s="1275"/>
      <c r="AP104" s="1275"/>
      <c r="AQ104" s="1275"/>
    </row>
    <row s="1877" customFormat="1" customHeight="1" ht="17.25" hidden="1">
      <c r="A105" s="306"/>
      <c r="C105" s="305"/>
      <c r="D105" s="1974"/>
      <c r="E105" s="1976"/>
      <c r="F105" s="1978"/>
      <c r="G105" s="1976"/>
      <c r="H105" s="1981"/>
      <c r="I105" s="1983"/>
      <c r="J105" s="1986"/>
      <c r="K105" s="1972"/>
      <c r="L105" s="1972"/>
      <c r="M105" s="1972"/>
      <c r="N105" s="1989"/>
      <c r="O105" s="1972"/>
      <c r="P105" s="1488"/>
      <c r="Q105" s="1314"/>
      <c r="R105" s="1314"/>
      <c r="S105" s="317"/>
      <c r="T105" s="317"/>
      <c r="U105" s="317"/>
      <c r="V105" s="317"/>
      <c r="W105" s="1315"/>
      <c r="X105" s="1275"/>
      <c r="Y105" s="1275"/>
      <c r="Z105" s="1275"/>
      <c r="AA105" s="1275"/>
      <c r="AB105" s="1275"/>
      <c r="AC105" s="1275"/>
      <c r="AD105" s="1275"/>
      <c r="AE105" s="1275"/>
      <c r="AF105" s="1275"/>
      <c r="AG105" s="1275"/>
      <c r="AH105" s="1275"/>
      <c r="AI105" s="1275"/>
      <c r="AJ105" s="1275"/>
      <c r="AK105" s="1275"/>
      <c r="AL105" s="1275"/>
      <c r="AM105" s="1275"/>
      <c r="AN105" s="1275"/>
      <c r="AO105" s="1275"/>
      <c r="AP105" s="1275"/>
      <c r="AQ105" s="1275"/>
    </row>
    <row s="1877" customFormat="1" customHeight="1" ht="17.25" hidden="1">
      <c r="A106" s="306"/>
      <c r="C106" s="305"/>
      <c r="D106" s="1974"/>
      <c r="E106" s="1976"/>
      <c r="F106" s="1978"/>
      <c r="G106" s="1976"/>
      <c r="H106" s="1981"/>
      <c r="I106" s="1983"/>
      <c r="J106" s="1986"/>
      <c r="K106" s="1972"/>
      <c r="L106" s="1314"/>
      <c r="M106" s="1314"/>
      <c r="N106" s="1314"/>
      <c r="O106" s="1314"/>
      <c r="P106" s="1314"/>
      <c r="Q106" s="1314"/>
      <c r="R106" s="1314"/>
      <c r="S106" s="317"/>
      <c r="T106" s="317"/>
      <c r="U106" s="317"/>
      <c r="V106" s="317"/>
      <c r="W106" s="1315"/>
      <c r="X106" s="1275"/>
      <c r="Y106" s="1275"/>
      <c r="Z106" s="1275"/>
      <c r="AA106" s="1275"/>
      <c r="AB106" s="1275"/>
      <c r="AC106" s="1275"/>
      <c r="AD106" s="1275"/>
      <c r="AE106" s="1275"/>
      <c r="AF106" s="1275"/>
      <c r="AG106" s="1275"/>
      <c r="AH106" s="1275"/>
      <c r="AI106" s="1275"/>
      <c r="AJ106" s="1275"/>
      <c r="AK106" s="1275"/>
      <c r="AL106" s="1275"/>
      <c r="AM106" s="1275"/>
      <c r="AN106" s="1275"/>
      <c r="AO106" s="1275"/>
      <c r="AP106" s="1275"/>
      <c r="AQ106" s="1275"/>
    </row>
    <row s="1877" customFormat="1" customHeight="1" ht="17.25" hidden="1">
      <c r="A107" s="306"/>
      <c r="C107" s="305"/>
      <c r="D107" s="1974"/>
      <c r="E107" s="1976"/>
      <c r="F107" s="1979"/>
      <c r="G107" s="1976"/>
      <c r="H107" s="1316"/>
      <c r="I107" s="1317"/>
      <c r="J107" s="1317"/>
      <c r="K107" s="1317"/>
      <c r="L107" s="1317"/>
      <c r="M107" s="1317"/>
      <c r="N107" s="1317"/>
      <c r="O107" s="1317"/>
      <c r="P107" s="1317"/>
      <c r="Q107" s="1317"/>
      <c r="R107" s="1317"/>
      <c r="S107" s="1318"/>
      <c r="T107" s="1318"/>
      <c r="U107" s="1318"/>
      <c r="V107" s="1318"/>
      <c r="W107" s="1319"/>
      <c r="X107" s="1275"/>
      <c r="Y107" s="1275"/>
      <c r="Z107" s="1275"/>
      <c r="AA107" s="1275"/>
      <c r="AB107" s="1275"/>
      <c r="AC107" s="1275"/>
      <c r="AD107" s="1275"/>
      <c r="AE107" s="1275"/>
      <c r="AF107" s="1275"/>
      <c r="AG107" s="1275"/>
      <c r="AH107" s="1275"/>
      <c r="AI107" s="1275"/>
      <c r="AJ107" s="1275"/>
      <c r="AK107" s="1275"/>
      <c r="AL107" s="1275"/>
      <c r="AM107" s="1275"/>
      <c r="AN107" s="1275"/>
      <c r="AO107" s="1275"/>
      <c r="AP107" s="1275"/>
      <c r="AQ107" s="1275"/>
    </row>
    <row s="1877" customFormat="1" customHeight="1" ht="17.25" hidden="1">
      <c r="A108" s="306"/>
      <c r="C108" s="188"/>
      <c r="D108" s="1973">
        <v>3</v>
      </c>
      <c r="E108" s="1975" t="s">
        <v>264</v>
      </c>
      <c r="F108" s="1977" t="s">
        <v>56</v>
      </c>
      <c r="G108" s="1975"/>
      <c r="H108" s="1980"/>
      <c r="I108" s="1982"/>
      <c r="J108" s="1984"/>
      <c r="K108" s="1971"/>
      <c r="L108" s="1971"/>
      <c r="M108" s="1971"/>
      <c r="N108" s="1987"/>
      <c r="O108" s="1971"/>
      <c r="P108" s="1971"/>
      <c r="Q108" s="1971"/>
      <c r="R108" s="1990"/>
      <c r="S108" s="1971"/>
      <c r="T108" s="1487"/>
      <c r="U108" s="1487"/>
      <c r="V108" s="1489"/>
      <c r="W108" s="1313"/>
      <c r="X108" s="1283"/>
      <c r="Y108" s="1283"/>
      <c r="Z108" s="1283"/>
      <c r="AA108" s="1283"/>
      <c r="AB108" s="1283"/>
      <c r="AC108" s="1283" t="s">
        <v>265</v>
      </c>
      <c r="AD108" s="1283" t="s">
        <v>266</v>
      </c>
      <c r="AE108" s="1283" t="s">
        <v>267</v>
      </c>
      <c r="AF108" s="1283" t="s">
        <v>268</v>
      </c>
      <c r="AG108" s="1283"/>
      <c r="AH108" s="1283" t="str">
        <f>IF($E$108=0,"",$E$108)</f>
        <v>Тариф на подключение (технологическое присоединение) к централизованной системе горячего водоснабжения</v>
      </c>
      <c r="AI108" s="1283" t="str">
        <f>IF($G$108=0,"",$G$108)</f>
        <v/>
      </c>
      <c r="AJ108" s="1283" t="str">
        <f>IF($J$108=0,"",$J$108)</f>
        <v/>
      </c>
      <c r="AK108" s="1283" t="str">
        <f>IF($K$108="нет","без дифференциации",IF($N$108=0,"",$N$108))</f>
        <v/>
      </c>
      <c r="AL108" s="1283" t="str">
        <f>IF($O$108="нет","без дифференциации",IF($R$108=0,"",$R$108))</f>
        <v/>
      </c>
      <c r="AM108" s="1283" t="str">
        <f>IF($S$108="нет","без дифференциации",IF($V$108=0,"",$V$108))</f>
        <v/>
      </c>
      <c r="AN108" s="1797">
        <f>$I$108</f>
        <v>0</v>
      </c>
      <c r="AO108" s="1283" t="str">
        <f>$I$108&amp;"."&amp;$M$108</f>
        <v>.</v>
      </c>
      <c r="AP108" s="1275" t="str">
        <f>$I$108&amp;"."&amp;$M$108&amp;"."&amp;$Q$108</f>
        <v>..</v>
      </c>
      <c r="AQ108" s="1275" t="str">
        <f>$I$108&amp;"."&amp;$M$108&amp;"."&amp;$Q$108&amp;"."&amp;$U$108</f>
        <v>...</v>
      </c>
    </row>
    <row s="1877" customFormat="1" customHeight="1" ht="17.25" hidden="1">
      <c r="A109" s="306"/>
      <c r="C109" s="305"/>
      <c r="D109" s="1973"/>
      <c r="E109" s="1975"/>
      <c r="F109" s="1978"/>
      <c r="G109" s="1975"/>
      <c r="H109" s="1981"/>
      <c r="I109" s="1983"/>
      <c r="J109" s="1985"/>
      <c r="K109" s="1972"/>
      <c r="L109" s="1972"/>
      <c r="M109" s="1972"/>
      <c r="N109" s="1988"/>
      <c r="O109" s="1972"/>
      <c r="P109" s="1972"/>
      <c r="Q109" s="1972"/>
      <c r="R109" s="1989"/>
      <c r="S109" s="1972"/>
      <c r="T109" s="1314"/>
      <c r="U109" s="1314"/>
      <c r="V109" s="1314"/>
      <c r="W109" s="1315"/>
      <c r="X109" s="1275"/>
      <c r="Y109" s="1275"/>
      <c r="Z109" s="1275"/>
      <c r="AA109" s="1275"/>
      <c r="AB109" s="1275"/>
      <c r="AC109" s="1275"/>
      <c r="AD109" s="1275"/>
      <c r="AE109" s="1275"/>
      <c r="AF109" s="1275"/>
      <c r="AG109" s="1275"/>
      <c r="AH109" s="1275"/>
      <c r="AI109" s="1275"/>
      <c r="AJ109" s="1275"/>
      <c r="AK109" s="1275"/>
      <c r="AL109" s="1275"/>
      <c r="AM109" s="1275"/>
      <c r="AN109" s="1275"/>
      <c r="AO109" s="1275"/>
      <c r="AP109" s="1275"/>
      <c r="AQ109" s="1275"/>
    </row>
    <row s="1877" customFormat="1" customHeight="1" ht="17.25" hidden="1">
      <c r="A110" s="306"/>
      <c r="C110" s="305"/>
      <c r="D110" s="1974"/>
      <c r="E110" s="1976"/>
      <c r="F110" s="1978"/>
      <c r="G110" s="1976"/>
      <c r="H110" s="1981"/>
      <c r="I110" s="1983"/>
      <c r="J110" s="1986"/>
      <c r="K110" s="1972"/>
      <c r="L110" s="1972"/>
      <c r="M110" s="1972"/>
      <c r="N110" s="1989"/>
      <c r="O110" s="1972"/>
      <c r="P110" s="1488"/>
      <c r="Q110" s="1314"/>
      <c r="R110" s="1314"/>
      <c r="S110" s="317"/>
      <c r="T110" s="317"/>
      <c r="U110" s="317"/>
      <c r="V110" s="317"/>
      <c r="W110" s="1315"/>
      <c r="X110" s="1275"/>
      <c r="Y110" s="1275"/>
      <c r="Z110" s="1275"/>
      <c r="AA110" s="1275"/>
      <c r="AB110" s="1275"/>
      <c r="AC110" s="1275"/>
      <c r="AD110" s="1275"/>
      <c r="AE110" s="1275"/>
      <c r="AF110" s="1275"/>
      <c r="AG110" s="1275"/>
      <c r="AH110" s="1275"/>
      <c r="AI110" s="1275"/>
      <c r="AJ110" s="1275"/>
      <c r="AK110" s="1275"/>
      <c r="AL110" s="1275"/>
      <c r="AM110" s="1275"/>
      <c r="AN110" s="1275"/>
      <c r="AO110" s="1275"/>
      <c r="AP110" s="1275"/>
      <c r="AQ110" s="1275"/>
    </row>
    <row s="1877" customFormat="1" customHeight="1" ht="17.25" hidden="1">
      <c r="A111" s="306"/>
      <c r="C111" s="305"/>
      <c r="D111" s="1974"/>
      <c r="E111" s="1976"/>
      <c r="F111" s="1978"/>
      <c r="G111" s="1976"/>
      <c r="H111" s="1981"/>
      <c r="I111" s="1983"/>
      <c r="J111" s="1986"/>
      <c r="K111" s="1972"/>
      <c r="L111" s="1314"/>
      <c r="M111" s="1314"/>
      <c r="N111" s="1314"/>
      <c r="O111" s="1314"/>
      <c r="P111" s="1314"/>
      <c r="Q111" s="1314"/>
      <c r="R111" s="1314"/>
      <c r="S111" s="317"/>
      <c r="T111" s="317"/>
      <c r="U111" s="317"/>
      <c r="V111" s="317"/>
      <c r="W111" s="1315"/>
      <c r="X111" s="1275"/>
      <c r="Y111" s="1275"/>
      <c r="Z111" s="1275"/>
      <c r="AA111" s="1275"/>
      <c r="AB111" s="1275"/>
      <c r="AC111" s="1275"/>
      <c r="AD111" s="1275"/>
      <c r="AE111" s="1275"/>
      <c r="AF111" s="1275"/>
      <c r="AG111" s="1275"/>
      <c r="AH111" s="1275"/>
      <c r="AI111" s="1275"/>
      <c r="AJ111" s="1275"/>
      <c r="AK111" s="1275"/>
      <c r="AL111" s="1275"/>
      <c r="AM111" s="1275"/>
      <c r="AN111" s="1275"/>
      <c r="AO111" s="1275"/>
      <c r="AP111" s="1275"/>
      <c r="AQ111" s="1275"/>
    </row>
    <row s="1877" customFormat="1" customHeight="1" ht="17.25" hidden="1">
      <c r="A112" s="306"/>
      <c r="C112" s="305"/>
      <c r="D112" s="1974"/>
      <c r="E112" s="1976"/>
      <c r="F112" s="1979"/>
      <c r="G112" s="1976"/>
      <c r="H112" s="1316"/>
      <c r="I112" s="1317"/>
      <c r="J112" s="1317"/>
      <c r="K112" s="1317"/>
      <c r="L112" s="1317"/>
      <c r="M112" s="1317"/>
      <c r="N112" s="1317"/>
      <c r="O112" s="1317"/>
      <c r="P112" s="1317"/>
      <c r="Q112" s="1317"/>
      <c r="R112" s="1317"/>
      <c r="S112" s="1318"/>
      <c r="T112" s="1318"/>
      <c r="U112" s="1318"/>
      <c r="V112" s="1318"/>
      <c r="W112" s="1319"/>
      <c r="X112" s="1275"/>
      <c r="Y112" s="1275"/>
      <c r="Z112" s="1275"/>
      <c r="AA112" s="1275"/>
      <c r="AB112" s="1275"/>
      <c r="AC112" s="1275"/>
      <c r="AD112" s="1275"/>
      <c r="AE112" s="1275"/>
      <c r="AF112" s="1275"/>
      <c r="AG112" s="1275"/>
      <c r="AH112" s="1275"/>
      <c r="AI112" s="1275"/>
      <c r="AJ112" s="1275"/>
      <c r="AK112" s="1275"/>
      <c r="AL112" s="1275"/>
      <c r="AM112" s="1275"/>
      <c r="AN112" s="1275"/>
      <c r="AO112" s="1275"/>
      <c r="AP112" s="1275"/>
      <c r="AQ112" s="1275"/>
    </row>
    <row s="1877" customFormat="1" customHeight="1" ht="11.25" hidden="1">
      <c r="A113" s="256"/>
      <c r="B113" s="256"/>
      <c r="Y113" s="1275"/>
      <c r="Z113" s="1275"/>
      <c r="AA113" s="1275"/>
      <c r="AB113" s="1275"/>
      <c r="AC113" s="1275"/>
      <c r="AD113" s="1275"/>
      <c r="AE113" s="1275"/>
      <c r="AF113" s="1275"/>
      <c r="AG113" s="1275"/>
      <c r="AH113" s="1275"/>
      <c r="AI113" s="1275"/>
      <c r="AJ113" s="1275"/>
      <c r="AK113" s="1275"/>
      <c r="AL113" s="1275"/>
      <c r="AM113" s="1275"/>
      <c r="AN113" s="1275"/>
      <c r="AO113" s="1275"/>
      <c r="AP113" s="1275"/>
      <c r="AQ113" s="1275"/>
    </row>
    <row s="1877" customFormat="1" customHeight="1" ht="17.25" hidden="1">
      <c r="A114" s="306"/>
      <c r="C114" s="188"/>
      <c r="D114" s="1973">
        <v>1</v>
      </c>
      <c r="E114" s="1975" t="s">
        <v>269</v>
      </c>
      <c r="F114" s="1977" t="s">
        <v>56</v>
      </c>
      <c r="G114" s="1975"/>
      <c r="H114" s="1980"/>
      <c r="I114" s="1982"/>
      <c r="J114" s="1984"/>
      <c r="K114" s="1971"/>
      <c r="L114" s="1971"/>
      <c r="M114" s="1971"/>
      <c r="N114" s="1987"/>
      <c r="O114" s="1971"/>
      <c r="P114" s="1971"/>
      <c r="Q114" s="1971"/>
      <c r="R114" s="1990"/>
      <c r="S114" s="1971"/>
      <c r="T114" s="1487"/>
      <c r="U114" s="1487"/>
      <c r="V114" s="1489"/>
      <c r="W114" s="1313"/>
      <c r="Y114" s="1283"/>
      <c r="Z114" s="1283"/>
      <c r="AA114" s="1283"/>
      <c r="AB114" s="1283"/>
      <c r="AC114" s="1283" t="s">
        <v>270</v>
      </c>
      <c r="AD114" s="1283" t="s">
        <v>271</v>
      </c>
      <c r="AE114" s="1283" t="s">
        <v>272</v>
      </c>
      <c r="AF114" s="1283" t="s">
        <v>273</v>
      </c>
      <c r="AG114" s="1283"/>
      <c r="AH114" s="1283" t="str">
        <f>IF($E$114=0,"",$E$114)</f>
        <v>Тариф на водоотведение</v>
      </c>
      <c r="AI114" s="1283" t="str">
        <f>IF($G$114=0,"",$G$114)</f>
        <v/>
      </c>
      <c r="AJ114" s="1283" t="str">
        <f>IF($J$114=0,"",$J$114)</f>
        <v/>
      </c>
      <c r="AK114" s="1283" t="str">
        <f>IF($K$114="нет","без дифференциации",IF($N$114=0,"",$N$114))</f>
        <v/>
      </c>
      <c r="AL114" s="1283" t="str">
        <f>IF($O$114="нет","без дифференциации",IF($R$114=0,"",$R$114))</f>
        <v/>
      </c>
      <c r="AM114" s="1283" t="str">
        <f>IF($S$114="нет","без дифференциации",IF($V$114=0,"",$V$114))</f>
        <v/>
      </c>
      <c r="AN114" s="1283">
        <f>$I$114</f>
        <v>0</v>
      </c>
      <c r="AO114" s="1283" t="str">
        <f>$I$114&amp;"."&amp;$M$114</f>
        <v>.</v>
      </c>
      <c r="AP114" s="1283" t="str">
        <f>$I$114&amp;"."&amp;$M$114&amp;"."&amp;$Q$114</f>
        <v>..</v>
      </c>
      <c r="AQ114" s="1283" t="str">
        <f>$I$114&amp;"."&amp;$M$114&amp;"."&amp;$Q$114&amp;"."&amp;$U$114</f>
        <v>...</v>
      </c>
    </row>
    <row s="1877" customFormat="1" customHeight="1" ht="17.25" hidden="1">
      <c r="A115" s="306"/>
      <c r="C115" s="305"/>
      <c r="D115" s="1973"/>
      <c r="E115" s="1975"/>
      <c r="F115" s="1978"/>
      <c r="G115" s="1975"/>
      <c r="H115" s="1981"/>
      <c r="I115" s="1983"/>
      <c r="J115" s="1985"/>
      <c r="K115" s="1972"/>
      <c r="L115" s="1972"/>
      <c r="M115" s="1972"/>
      <c r="N115" s="1988"/>
      <c r="O115" s="1972"/>
      <c r="P115" s="1972"/>
      <c r="Q115" s="1972"/>
      <c r="R115" s="1989"/>
      <c r="S115" s="1972"/>
      <c r="T115" s="1314"/>
      <c r="U115" s="1314"/>
      <c r="V115" s="1314"/>
      <c r="W115" s="1315"/>
      <c r="Y115" s="1275"/>
      <c r="Z115" s="1275"/>
      <c r="AA115" s="1275"/>
      <c r="AB115" s="1275"/>
      <c r="AC115" s="1275"/>
      <c r="AD115" s="1275"/>
      <c r="AE115" s="1275"/>
      <c r="AF115" s="1275"/>
      <c r="AG115" s="1275"/>
      <c r="AH115" s="1275"/>
      <c r="AI115" s="1275"/>
      <c r="AJ115" s="1275"/>
      <c r="AK115" s="1275"/>
      <c r="AL115" s="1275"/>
      <c r="AM115" s="1275"/>
      <c r="AN115" s="1275"/>
      <c r="AO115" s="1275"/>
      <c r="AP115" s="1275"/>
      <c r="AQ115" s="1275"/>
    </row>
    <row s="1877" customFormat="1" customHeight="1" ht="17.25" hidden="1">
      <c r="A116" s="306"/>
      <c r="C116" s="188"/>
      <c r="D116" s="1973"/>
      <c r="E116" s="1975"/>
      <c r="F116" s="1978"/>
      <c r="G116" s="1975"/>
      <c r="H116" s="1981"/>
      <c r="I116" s="1983"/>
      <c r="J116" s="1986"/>
      <c r="K116" s="1972"/>
      <c r="L116" s="1972"/>
      <c r="M116" s="1972"/>
      <c r="N116" s="1989"/>
      <c r="O116" s="1972"/>
      <c r="P116" s="1488"/>
      <c r="Q116" s="1314"/>
      <c r="R116" s="1314"/>
      <c r="S116" s="317"/>
      <c r="T116" s="317"/>
      <c r="U116" s="317"/>
      <c r="V116" s="317"/>
      <c r="W116" s="1315"/>
      <c r="Y116" s="1283"/>
      <c r="Z116" s="1283"/>
      <c r="AA116" s="1283"/>
      <c r="AB116" s="1283"/>
      <c r="AC116" s="1283"/>
      <c r="AD116" s="1283"/>
      <c r="AE116" s="1283"/>
      <c r="AF116" s="1283"/>
      <c r="AG116" s="1283"/>
      <c r="AH116" s="1283"/>
      <c r="AI116" s="1283"/>
      <c r="AJ116" s="1283"/>
      <c r="AK116" s="1283"/>
      <c r="AL116" s="1283"/>
      <c r="AM116" s="1283"/>
      <c r="AN116" s="1283"/>
      <c r="AO116" s="1283"/>
      <c r="AP116" s="1283"/>
      <c r="AQ116" s="1283"/>
    </row>
    <row s="1877" customFormat="1" customHeight="1" ht="17.25" hidden="1">
      <c r="A117" s="306"/>
      <c r="C117" s="305"/>
      <c r="D117" s="1973"/>
      <c r="E117" s="1975"/>
      <c r="F117" s="1978"/>
      <c r="G117" s="1975"/>
      <c r="H117" s="1981"/>
      <c r="I117" s="1983"/>
      <c r="J117" s="1986"/>
      <c r="K117" s="1972"/>
      <c r="L117" s="1314"/>
      <c r="M117" s="1314"/>
      <c r="N117" s="1314"/>
      <c r="O117" s="1314"/>
      <c r="P117" s="1314"/>
      <c r="Q117" s="1314"/>
      <c r="R117" s="1314"/>
      <c r="S117" s="317"/>
      <c r="T117" s="317"/>
      <c r="U117" s="317"/>
      <c r="V117" s="317"/>
      <c r="W117" s="1315"/>
      <c r="Y117" s="1275"/>
      <c r="Z117" s="1275"/>
      <c r="AA117" s="1275"/>
      <c r="AB117" s="1275"/>
      <c r="AC117" s="1275"/>
      <c r="AD117" s="1275"/>
      <c r="AE117" s="1275"/>
      <c r="AF117" s="1275"/>
      <c r="AG117" s="1275"/>
      <c r="AH117" s="1275"/>
      <c r="AI117" s="1275"/>
      <c r="AJ117" s="1275"/>
      <c r="AK117" s="1275"/>
      <c r="AL117" s="1275"/>
      <c r="AM117" s="1275"/>
      <c r="AN117" s="1275"/>
      <c r="AO117" s="1275"/>
      <c r="AP117" s="1275"/>
      <c r="AQ117" s="1275"/>
    </row>
    <row s="1877" customFormat="1" customHeight="1" ht="17.25" hidden="1">
      <c r="A118" s="306"/>
      <c r="C118" s="305"/>
      <c r="D118" s="1974"/>
      <c r="E118" s="1976"/>
      <c r="F118" s="1979"/>
      <c r="G118" s="1976"/>
      <c r="H118" s="1316"/>
      <c r="I118" s="1317"/>
      <c r="J118" s="1317"/>
      <c r="K118" s="1317"/>
      <c r="L118" s="1317"/>
      <c r="M118" s="1317"/>
      <c r="N118" s="1317"/>
      <c r="O118" s="1317"/>
      <c r="P118" s="1317"/>
      <c r="Q118" s="1317"/>
      <c r="R118" s="1317"/>
      <c r="S118" s="1318"/>
      <c r="T118" s="1318"/>
      <c r="U118" s="1318"/>
      <c r="V118" s="1318"/>
      <c r="W118" s="1319"/>
      <c r="Y118" s="1275"/>
      <c r="Z118" s="1275"/>
      <c r="AA118" s="1275"/>
      <c r="AB118" s="1275"/>
      <c r="AC118" s="1275"/>
      <c r="AD118" s="1275"/>
      <c r="AE118" s="1275"/>
      <c r="AF118" s="1275"/>
      <c r="AG118" s="1275"/>
      <c r="AH118" s="1275"/>
      <c r="AI118" s="1275"/>
      <c r="AJ118" s="1275"/>
      <c r="AK118" s="1275"/>
      <c r="AL118" s="1275"/>
      <c r="AM118" s="1275"/>
      <c r="AN118" s="1275"/>
      <c r="AO118" s="1275"/>
      <c r="AP118" s="1275"/>
      <c r="AQ118" s="1275"/>
    </row>
    <row s="1877" customFormat="1" customHeight="1" ht="17.25" hidden="1">
      <c r="A119" s="306"/>
      <c r="C119" s="188"/>
      <c r="D119" s="1973">
        <v>2</v>
      </c>
      <c r="E119" s="1975" t="s">
        <v>274</v>
      </c>
      <c r="F119" s="1977" t="s">
        <v>56</v>
      </c>
      <c r="G119" s="1975"/>
      <c r="H119" s="1980"/>
      <c r="I119" s="1982"/>
      <c r="J119" s="1984"/>
      <c r="K119" s="1971"/>
      <c r="L119" s="1971"/>
      <c r="M119" s="1971"/>
      <c r="N119" s="1987"/>
      <c r="O119" s="1971"/>
      <c r="P119" s="1971"/>
      <c r="Q119" s="1971"/>
      <c r="R119" s="1990"/>
      <c r="S119" s="1971"/>
      <c r="T119" s="1487"/>
      <c r="U119" s="1487"/>
      <c r="V119" s="1489"/>
      <c r="W119" s="1313"/>
      <c r="X119" s="1283"/>
      <c r="Y119" s="1283"/>
      <c r="Z119" s="1283"/>
      <c r="AA119" s="1283"/>
      <c r="AB119" s="1283"/>
      <c r="AC119" s="1283" t="s">
        <v>275</v>
      </c>
      <c r="AD119" s="1283" t="s">
        <v>276</v>
      </c>
      <c r="AE119" s="1283" t="s">
        <v>277</v>
      </c>
      <c r="AF119" s="1283" t="s">
        <v>278</v>
      </c>
      <c r="AG119" s="1283"/>
      <c r="AH119" s="1283" t="str">
        <f>IF($E$119=0,"",$E$119)</f>
        <v>Тариф на транспортировку сточных вод</v>
      </c>
      <c r="AI119" s="1283" t="str">
        <f>IF($G$119=0,"",$G$119)</f>
        <v/>
      </c>
      <c r="AJ119" s="1283" t="str">
        <f>IF($J$119=0,"",$J$119)</f>
        <v/>
      </c>
      <c r="AK119" s="1283" t="str">
        <f>IF($K$119="нет","без дифференциации",IF($N$119=0,"",$N$119))</f>
        <v/>
      </c>
      <c r="AL119" s="1283" t="str">
        <f>IF($O$119="нет","без дифференциации",IF($R$119=0,"",$R$119))</f>
        <v/>
      </c>
      <c r="AM119" s="1283" t="str">
        <f>IF($S$119="нет","без дифференциации",IF($V$119=0,"",$V$119))</f>
        <v/>
      </c>
      <c r="AN119" s="1797">
        <f>$I$119</f>
        <v>0</v>
      </c>
      <c r="AO119" s="1283" t="str">
        <f>$I$119&amp;"."&amp;$M$119</f>
        <v>.</v>
      </c>
      <c r="AP119" s="1275" t="str">
        <f>$I$119&amp;"."&amp;$M$119&amp;"."&amp;$Q$119</f>
        <v>..</v>
      </c>
      <c r="AQ119" s="1275" t="str">
        <f>$I$119&amp;"."&amp;$M$119&amp;"."&amp;$Q$119&amp;"."&amp;$U$119</f>
        <v>...</v>
      </c>
    </row>
    <row s="1877" customFormat="1" customHeight="1" ht="17.25" hidden="1">
      <c r="A120" s="306"/>
      <c r="C120" s="305"/>
      <c r="D120" s="1973"/>
      <c r="E120" s="1975"/>
      <c r="F120" s="1978"/>
      <c r="G120" s="1975"/>
      <c r="H120" s="1981"/>
      <c r="I120" s="1983"/>
      <c r="J120" s="1985"/>
      <c r="K120" s="1972"/>
      <c r="L120" s="1972"/>
      <c r="M120" s="1972"/>
      <c r="N120" s="1988"/>
      <c r="O120" s="1972"/>
      <c r="P120" s="1972"/>
      <c r="Q120" s="1972"/>
      <c r="R120" s="1989"/>
      <c r="S120" s="1972"/>
      <c r="T120" s="1314"/>
      <c r="U120" s="1314"/>
      <c r="V120" s="1314"/>
      <c r="W120" s="1315"/>
      <c r="X120" s="1275"/>
      <c r="Y120" s="1275"/>
      <c r="Z120" s="1275"/>
      <c r="AA120" s="1275"/>
      <c r="AB120" s="1275"/>
      <c r="AC120" s="1275"/>
      <c r="AD120" s="1275"/>
      <c r="AE120" s="1275"/>
      <c r="AF120" s="1275"/>
      <c r="AG120" s="1275"/>
      <c r="AH120" s="1275"/>
      <c r="AI120" s="1275"/>
      <c r="AJ120" s="1275"/>
      <c r="AK120" s="1275"/>
      <c r="AL120" s="1275"/>
      <c r="AM120" s="1275"/>
      <c r="AN120" s="1275"/>
      <c r="AO120" s="1275"/>
      <c r="AP120" s="1275"/>
      <c r="AQ120" s="1275"/>
    </row>
    <row s="1877" customFormat="1" customHeight="1" ht="17.25" hidden="1">
      <c r="A121" s="306"/>
      <c r="C121" s="305"/>
      <c r="D121" s="1974"/>
      <c r="E121" s="1976"/>
      <c r="F121" s="1978"/>
      <c r="G121" s="1976"/>
      <c r="H121" s="1981"/>
      <c r="I121" s="1983"/>
      <c r="J121" s="1986"/>
      <c r="K121" s="1972"/>
      <c r="L121" s="1972"/>
      <c r="M121" s="1972"/>
      <c r="N121" s="1989"/>
      <c r="O121" s="1972"/>
      <c r="P121" s="1488"/>
      <c r="Q121" s="1314"/>
      <c r="R121" s="1314"/>
      <c r="S121" s="317"/>
      <c r="T121" s="317"/>
      <c r="U121" s="317"/>
      <c r="V121" s="317"/>
      <c r="W121" s="1315"/>
      <c r="X121" s="1275"/>
      <c r="Y121" s="1275"/>
      <c r="Z121" s="1275"/>
      <c r="AA121" s="1275"/>
      <c r="AB121" s="1275"/>
      <c r="AC121" s="1275"/>
      <c r="AD121" s="1275"/>
      <c r="AE121" s="1275"/>
      <c r="AF121" s="1275"/>
      <c r="AG121" s="1275"/>
      <c r="AH121" s="1275"/>
      <c r="AI121" s="1275"/>
      <c r="AJ121" s="1275"/>
      <c r="AK121" s="1275"/>
      <c r="AL121" s="1275"/>
      <c r="AM121" s="1275"/>
      <c r="AN121" s="1275"/>
      <c r="AO121" s="1275"/>
      <c r="AP121" s="1275"/>
      <c r="AQ121" s="1275"/>
    </row>
    <row s="1877" customFormat="1" customHeight="1" ht="17.25" hidden="1">
      <c r="A122" s="306"/>
      <c r="C122" s="305"/>
      <c r="D122" s="1974"/>
      <c r="E122" s="1976"/>
      <c r="F122" s="1978"/>
      <c r="G122" s="1976"/>
      <c r="H122" s="1981"/>
      <c r="I122" s="1983"/>
      <c r="J122" s="1986"/>
      <c r="K122" s="1972"/>
      <c r="L122" s="1314"/>
      <c r="M122" s="1314"/>
      <c r="N122" s="1314"/>
      <c r="O122" s="1314"/>
      <c r="P122" s="1314"/>
      <c r="Q122" s="1314"/>
      <c r="R122" s="1314"/>
      <c r="S122" s="317"/>
      <c r="T122" s="317"/>
      <c r="U122" s="317"/>
      <c r="V122" s="317"/>
      <c r="W122" s="1315"/>
      <c r="X122" s="1275"/>
      <c r="Y122" s="1275"/>
      <c r="Z122" s="1275"/>
      <c r="AA122" s="1275"/>
      <c r="AB122" s="1275"/>
      <c r="AC122" s="1275"/>
      <c r="AD122" s="1275"/>
      <c r="AE122" s="1275"/>
      <c r="AF122" s="1275"/>
      <c r="AG122" s="1275"/>
      <c r="AH122" s="1275"/>
      <c r="AI122" s="1275"/>
      <c r="AJ122" s="1275"/>
      <c r="AK122" s="1275"/>
      <c r="AL122" s="1275"/>
      <c r="AM122" s="1275"/>
      <c r="AN122" s="1275"/>
      <c r="AO122" s="1275"/>
      <c r="AP122" s="1275"/>
      <c r="AQ122" s="1275"/>
    </row>
    <row s="1877" customFormat="1" customHeight="1" ht="17.25" hidden="1">
      <c r="A123" s="306"/>
      <c r="C123" s="305"/>
      <c r="D123" s="1974"/>
      <c r="E123" s="1976"/>
      <c r="F123" s="1979"/>
      <c r="G123" s="1976"/>
      <c r="H123" s="1316"/>
      <c r="I123" s="1317"/>
      <c r="J123" s="1317"/>
      <c r="K123" s="1317"/>
      <c r="L123" s="1317"/>
      <c r="M123" s="1317"/>
      <c r="N123" s="1317"/>
      <c r="O123" s="1317"/>
      <c r="P123" s="1317"/>
      <c r="Q123" s="1317"/>
      <c r="R123" s="1317"/>
      <c r="S123" s="1318"/>
      <c r="T123" s="1318"/>
      <c r="U123" s="1318"/>
      <c r="V123" s="1318"/>
      <c r="W123" s="1319"/>
      <c r="X123" s="1275"/>
      <c r="Y123" s="1275"/>
      <c r="Z123" s="1275"/>
      <c r="AA123" s="1275"/>
      <c r="AB123" s="1275"/>
      <c r="AC123" s="1275"/>
      <c r="AD123" s="1275"/>
      <c r="AE123" s="1275"/>
      <c r="AF123" s="1275"/>
      <c r="AG123" s="1275"/>
      <c r="AH123" s="1275"/>
      <c r="AI123" s="1275"/>
      <c r="AJ123" s="1275"/>
      <c r="AK123" s="1275"/>
      <c r="AL123" s="1275"/>
      <c r="AM123" s="1275"/>
      <c r="AN123" s="1275"/>
      <c r="AO123" s="1275"/>
      <c r="AP123" s="1275"/>
      <c r="AQ123" s="1275"/>
    </row>
    <row s="1877" customFormat="1" customHeight="1" ht="17.25" hidden="1">
      <c r="A124" s="306"/>
      <c r="C124" s="188"/>
      <c r="D124" s="1973">
        <v>3</v>
      </c>
      <c r="E124" s="1975" t="s">
        <v>279</v>
      </c>
      <c r="F124" s="1977" t="s">
        <v>56</v>
      </c>
      <c r="G124" s="1975"/>
      <c r="H124" s="1980"/>
      <c r="I124" s="1982"/>
      <c r="J124" s="1984"/>
      <c r="K124" s="1971"/>
      <c r="L124" s="1971"/>
      <c r="M124" s="1971"/>
      <c r="N124" s="1987"/>
      <c r="O124" s="1971"/>
      <c r="P124" s="1971"/>
      <c r="Q124" s="1971"/>
      <c r="R124" s="1990"/>
      <c r="S124" s="1971"/>
      <c r="T124" s="1487"/>
      <c r="U124" s="1487"/>
      <c r="V124" s="1489"/>
      <c r="W124" s="1313"/>
      <c r="X124" s="1283"/>
      <c r="Y124" s="1283"/>
      <c r="Z124" s="1283"/>
      <c r="AA124" s="1283"/>
      <c r="AB124" s="1283"/>
      <c r="AC124" s="1283" t="s">
        <v>280</v>
      </c>
      <c r="AD124" s="1283" t="s">
        <v>281</v>
      </c>
      <c r="AE124" s="1283" t="s">
        <v>282</v>
      </c>
      <c r="AF124" s="1283" t="s">
        <v>283</v>
      </c>
      <c r="AG124" s="1283"/>
      <c r="AH124" s="1283" t="str">
        <f>IF($E$124=0,"",$E$124)</f>
        <v>Тариф на подключение (технологическое присоединение) к централизованной системе водоотведения</v>
      </c>
      <c r="AI124" s="1283" t="str">
        <f>IF($G$124=0,"",$G$124)</f>
        <v/>
      </c>
      <c r="AJ124" s="1283" t="str">
        <f>IF($J$124=0,"",$J$124)</f>
        <v/>
      </c>
      <c r="AK124" s="1283" t="str">
        <f>IF($K$124="нет","без дифференциации",IF($N$124=0,"",$N$124))</f>
        <v/>
      </c>
      <c r="AL124" s="1283" t="str">
        <f>IF($O$124="нет","без дифференциации",IF($R$124=0,"",$R$124))</f>
        <v/>
      </c>
      <c r="AM124" s="1283" t="str">
        <f>IF($S$124="нет","без дифференциации",IF($V$124=0,"",$V$124))</f>
        <v/>
      </c>
      <c r="AN124" s="1797">
        <f>$I$124</f>
        <v>0</v>
      </c>
      <c r="AO124" s="1283" t="str">
        <f>$I$124&amp;"."&amp;$M$124</f>
        <v>.</v>
      </c>
      <c r="AP124" s="1275" t="str">
        <f>$I$124&amp;"."&amp;$M$124&amp;"."&amp;$Q$124</f>
        <v>..</v>
      </c>
      <c r="AQ124" s="1275" t="str">
        <f>$I$124&amp;"."&amp;$M$124&amp;"."&amp;$Q$124&amp;"."&amp;$U$124</f>
        <v>...</v>
      </c>
    </row>
    <row s="1877" customFormat="1" customHeight="1" ht="17.25" hidden="1">
      <c r="A125" s="306"/>
      <c r="C125" s="305"/>
      <c r="D125" s="1973"/>
      <c r="E125" s="1975"/>
      <c r="F125" s="1978"/>
      <c r="G125" s="1975"/>
      <c r="H125" s="1981"/>
      <c r="I125" s="1983"/>
      <c r="J125" s="1985"/>
      <c r="K125" s="1972"/>
      <c r="L125" s="1972"/>
      <c r="M125" s="1972"/>
      <c r="N125" s="1988"/>
      <c r="O125" s="1972"/>
      <c r="P125" s="1972"/>
      <c r="Q125" s="1972"/>
      <c r="R125" s="1989"/>
      <c r="S125" s="1972"/>
      <c r="T125" s="1314"/>
      <c r="U125" s="1314"/>
      <c r="V125" s="1314"/>
      <c r="W125" s="1315"/>
      <c r="X125" s="1275"/>
      <c r="Y125" s="1275"/>
      <c r="Z125" s="1275"/>
      <c r="AA125" s="1275"/>
      <c r="AB125" s="1275"/>
      <c r="AC125" s="1275"/>
      <c r="AD125" s="1275"/>
      <c r="AE125" s="1275"/>
      <c r="AF125" s="1275"/>
      <c r="AG125" s="1275"/>
      <c r="AH125" s="1275"/>
      <c r="AI125" s="1275"/>
      <c r="AJ125" s="1275"/>
      <c r="AK125" s="1275"/>
      <c r="AL125" s="1275"/>
      <c r="AM125" s="1275"/>
      <c r="AN125" s="1275"/>
      <c r="AO125" s="1275"/>
      <c r="AP125" s="1275"/>
      <c r="AQ125" s="1275"/>
    </row>
    <row s="1877" customFormat="1" customHeight="1" ht="17.25" hidden="1">
      <c r="A126" s="306"/>
      <c r="C126" s="305"/>
      <c r="D126" s="1974"/>
      <c r="E126" s="1976"/>
      <c r="F126" s="1978"/>
      <c r="G126" s="1976"/>
      <c r="H126" s="1981"/>
      <c r="I126" s="1983"/>
      <c r="J126" s="1986"/>
      <c r="K126" s="1972"/>
      <c r="L126" s="1972"/>
      <c r="M126" s="1972"/>
      <c r="N126" s="1989"/>
      <c r="O126" s="1972"/>
      <c r="P126" s="1488"/>
      <c r="Q126" s="1314"/>
      <c r="R126" s="1314"/>
      <c r="S126" s="317"/>
      <c r="T126" s="317"/>
      <c r="U126" s="317"/>
      <c r="V126" s="317"/>
      <c r="W126" s="1315"/>
      <c r="X126" s="1275"/>
      <c r="Y126" s="1275"/>
      <c r="Z126" s="1275"/>
      <c r="AA126" s="1275"/>
      <c r="AB126" s="1275"/>
      <c r="AC126" s="1275"/>
      <c r="AD126" s="1275"/>
      <c r="AE126" s="1275"/>
      <c r="AF126" s="1275"/>
      <c r="AG126" s="1275"/>
      <c r="AH126" s="1275"/>
      <c r="AI126" s="1275"/>
      <c r="AJ126" s="1275"/>
      <c r="AK126" s="1275"/>
      <c r="AL126" s="1275"/>
      <c r="AM126" s="1275"/>
      <c r="AN126" s="1275"/>
      <c r="AO126" s="1275"/>
      <c r="AP126" s="1275"/>
      <c r="AQ126" s="1275"/>
    </row>
    <row s="1877" customFormat="1" customHeight="1" ht="17.25" hidden="1">
      <c r="A127" s="306"/>
      <c r="C127" s="305"/>
      <c r="D127" s="1974"/>
      <c r="E127" s="1976"/>
      <c r="F127" s="1978"/>
      <c r="G127" s="1976"/>
      <c r="H127" s="1981"/>
      <c r="I127" s="1983"/>
      <c r="J127" s="1986"/>
      <c r="K127" s="1972"/>
      <c r="L127" s="1314"/>
      <c r="M127" s="1314"/>
      <c r="N127" s="1314"/>
      <c r="O127" s="1314"/>
      <c r="P127" s="1314"/>
      <c r="Q127" s="1314"/>
      <c r="R127" s="1314"/>
      <c r="S127" s="317"/>
      <c r="T127" s="317"/>
      <c r="U127" s="317"/>
      <c r="V127" s="317"/>
      <c r="W127" s="1315"/>
      <c r="X127" s="1275"/>
      <c r="Y127" s="1275"/>
      <c r="Z127" s="1275"/>
      <c r="AA127" s="1275"/>
      <c r="AB127" s="1275"/>
      <c r="AC127" s="1275"/>
      <c r="AD127" s="1275"/>
      <c r="AE127" s="1275"/>
      <c r="AF127" s="1275"/>
      <c r="AG127" s="1275"/>
      <c r="AH127" s="1275"/>
      <c r="AI127" s="1275"/>
      <c r="AJ127" s="1275"/>
      <c r="AK127" s="1275"/>
      <c r="AL127" s="1275"/>
      <c r="AM127" s="1275"/>
      <c r="AN127" s="1275"/>
      <c r="AO127" s="1275"/>
      <c r="AP127" s="1275"/>
      <c r="AQ127" s="1275"/>
    </row>
    <row s="1877" customFormat="1" customHeight="1" ht="17.25" hidden="1">
      <c r="A128" s="306"/>
      <c r="C128" s="305"/>
      <c r="D128" s="1974"/>
      <c r="E128" s="1976"/>
      <c r="F128" s="1979"/>
      <c r="G128" s="1976"/>
      <c r="H128" s="1316"/>
      <c r="I128" s="1317"/>
      <c r="J128" s="1317"/>
      <c r="K128" s="1317"/>
      <c r="L128" s="1317"/>
      <c r="M128" s="1317"/>
      <c r="N128" s="1317"/>
      <c r="O128" s="1317"/>
      <c r="P128" s="1317"/>
      <c r="Q128" s="1317"/>
      <c r="R128" s="1317"/>
      <c r="S128" s="1318"/>
      <c r="T128" s="1318"/>
      <c r="U128" s="1318"/>
      <c r="V128" s="1318"/>
      <c r="W128" s="1319"/>
      <c r="X128" s="1275"/>
      <c r="Y128" s="1275"/>
      <c r="Z128" s="1275"/>
      <c r="AA128" s="1275"/>
      <c r="AB128" s="1275"/>
      <c r="AC128" s="1275"/>
      <c r="AD128" s="1275"/>
      <c r="AE128" s="1275"/>
      <c r="AF128" s="1275"/>
      <c r="AG128" s="1275"/>
      <c r="AH128" s="1275"/>
      <c r="AI128" s="1275"/>
      <c r="AJ128" s="1275"/>
      <c r="AK128" s="1275"/>
      <c r="AL128" s="1275"/>
      <c r="AM128" s="1275"/>
      <c r="AN128" s="1275"/>
      <c r="AO128" s="1275"/>
      <c r="AP128" s="1275"/>
      <c r="AQ128" s="1275"/>
    </row>
    <row r="132" customHeight="1" ht="11.25">
      <c r="E132" s="1367"/>
    </row>
    <row customHeight="1" ht="11.25">
      <c r="E133" s="1367"/>
    </row>
    <row customHeight="1" ht="11.25">
      <c r="E134" s="1367"/>
    </row>
    <row customHeight="1" ht="11.25">
      <c r="E135" s="1367"/>
    </row>
    <row customHeight="1" ht="11.25">
      <c r="E136" s="1367"/>
    </row>
    <row customHeight="1" ht="11.25">
      <c r="E137" s="1367"/>
    </row>
    <row customHeight="1" ht="11.25">
      <c r="E138" s="1367"/>
    </row>
  </sheetData>
  <sheetProtection formatColumns="0" formatRows="0" autoFilter="0" sort="0" insertRows="0" insertColumns="1" deleteRows="0" deleteColumns="0"/>
  <mergeCells count="355">
    <mergeCell ref="M92:M94"/>
    <mergeCell ref="N92:N94"/>
    <mergeCell ref="O92:O94"/>
    <mergeCell ref="P92:P93"/>
    <mergeCell ref="Q92:Q93"/>
    <mergeCell ref="R92:R93"/>
    <mergeCell ref="S92:S93"/>
    <mergeCell ref="D92:D96"/>
    <mergeCell ref="E92:E96"/>
    <mergeCell ref="F92:F96"/>
    <mergeCell ref="G92:G96"/>
    <mergeCell ref="H92:H95"/>
    <mergeCell ref="I92:I95"/>
    <mergeCell ref="J92:J95"/>
    <mergeCell ref="K92:K95"/>
    <mergeCell ref="L92:L94"/>
    <mergeCell ref="M87:M89"/>
    <mergeCell ref="N87:N89"/>
    <mergeCell ref="O87:O89"/>
    <mergeCell ref="P87:P88"/>
    <mergeCell ref="Q87:Q88"/>
    <mergeCell ref="R87:R88"/>
    <mergeCell ref="S87:S88"/>
    <mergeCell ref="D82:D86"/>
    <mergeCell ref="E82:E86"/>
    <mergeCell ref="M82:M84"/>
    <mergeCell ref="D87:D91"/>
    <mergeCell ref="E87:E91"/>
    <mergeCell ref="F87:F91"/>
    <mergeCell ref="G87:G91"/>
    <mergeCell ref="H87:H90"/>
    <mergeCell ref="I87:I90"/>
    <mergeCell ref="J87:J90"/>
    <mergeCell ref="K87:K90"/>
    <mergeCell ref="L87:L89"/>
    <mergeCell ref="F82:F86"/>
    <mergeCell ref="G82:G86"/>
    <mergeCell ref="H82:H85"/>
    <mergeCell ref="I82:I85"/>
    <mergeCell ref="J82:J85"/>
    <mergeCell ref="L82:L84"/>
    <mergeCell ref="Q77:Q78"/>
    <mergeCell ref="R77:R78"/>
    <mergeCell ref="S77:S78"/>
    <mergeCell ref="K77:K80"/>
    <mergeCell ref="K72:K75"/>
    <mergeCell ref="N77:N79"/>
    <mergeCell ref="O77:O79"/>
    <mergeCell ref="P77:P78"/>
    <mergeCell ref="S82:S83"/>
    <mergeCell ref="N82:N84"/>
    <mergeCell ref="O82:O84"/>
    <mergeCell ref="P82:P83"/>
    <mergeCell ref="Q82:Q83"/>
    <mergeCell ref="R82:R83"/>
    <mergeCell ref="L77:L79"/>
    <mergeCell ref="N72:N74"/>
    <mergeCell ref="O72:O74"/>
    <mergeCell ref="P72:P73"/>
    <mergeCell ref="Q72:Q73"/>
    <mergeCell ref="R72:R73"/>
    <mergeCell ref="S72:S73"/>
    <mergeCell ref="M77:M79"/>
    <mergeCell ref="W9:W10"/>
    <mergeCell ref="O9:R9"/>
    <mergeCell ref="K9:N9"/>
    <mergeCell ref="T11:U11"/>
    <mergeCell ref="S9:V9"/>
    <mergeCell ref="T10:U10"/>
    <mergeCell ref="D72:D76"/>
    <mergeCell ref="E72:E76"/>
    <mergeCell ref="D77:D81"/>
    <mergeCell ref="E77:E81"/>
    <mergeCell ref="F77:F81"/>
    <mergeCell ref="G77:G81"/>
    <mergeCell ref="H77:H80"/>
    <mergeCell ref="I77:I80"/>
    <mergeCell ref="J77:J80"/>
    <mergeCell ref="F72:F76"/>
    <mergeCell ref="G72:G76"/>
    <mergeCell ref="H72:H75"/>
    <mergeCell ref="I72:I75"/>
    <mergeCell ref="J72:J75"/>
    <mergeCell ref="K13:K16"/>
    <mergeCell ref="G18:G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P13:P14"/>
    <mergeCell ref="L13:L15"/>
    <mergeCell ref="M13:M15"/>
    <mergeCell ref="N13:N15"/>
    <mergeCell ref="O13:O15"/>
    <mergeCell ref="Q13:Q14"/>
    <mergeCell ref="D18:D30"/>
    <mergeCell ref="E18:E30"/>
    <mergeCell ref="F18:F30"/>
    <mergeCell ref="D31:D35"/>
    <mergeCell ref="E31:E35"/>
    <mergeCell ref="F31:F35"/>
    <mergeCell ref="G31:G35"/>
    <mergeCell ref="D56:D60"/>
    <mergeCell ref="E56:E60"/>
    <mergeCell ref="F56:F60"/>
    <mergeCell ref="H56:H59"/>
    <mergeCell ref="N46:N48"/>
    <mergeCell ref="G41:G45"/>
    <mergeCell ref="K41:K44"/>
    <mergeCell ref="G56:G60"/>
    <mergeCell ref="K56:K59"/>
    <mergeCell ref="N56:N58"/>
    <mergeCell ref="I56:I59"/>
    <mergeCell ref="J56:J59"/>
    <mergeCell ref="L56:L58"/>
    <mergeCell ref="M56:M58"/>
    <mergeCell ref="L46:L48"/>
    <mergeCell ref="M46:M48"/>
    <mergeCell ref="K46:K49"/>
    <mergeCell ref="D46:D50"/>
    <mergeCell ref="I46:I49"/>
    <mergeCell ref="J46:J49"/>
    <mergeCell ref="I41:I44"/>
    <mergeCell ref="J41:J44"/>
    <mergeCell ref="L41:L43"/>
    <mergeCell ref="M41:M43"/>
    <mergeCell ref="D41:D45"/>
    <mergeCell ref="D51:D55"/>
    <mergeCell ref="E51:E55"/>
    <mergeCell ref="F51:F55"/>
    <mergeCell ref="G51:G55"/>
    <mergeCell ref="H51:H54"/>
    <mergeCell ref="I51:I54"/>
    <mergeCell ref="J51:J54"/>
    <mergeCell ref="K51:K54"/>
    <mergeCell ref="L51:L53"/>
    <mergeCell ref="D36:D40"/>
    <mergeCell ref="E36:E40"/>
    <mergeCell ref="F36:F40"/>
    <mergeCell ref="P46:P47"/>
    <mergeCell ref="O41:O43"/>
    <mergeCell ref="Q46:Q47"/>
    <mergeCell ref="R46:R47"/>
    <mergeCell ref="O46:O48"/>
    <mergeCell ref="G36:G40"/>
    <mergeCell ref="S41:S42"/>
    <mergeCell ref="S46:S47"/>
    <mergeCell ref="E41:E45"/>
    <mergeCell ref="F41:F45"/>
    <mergeCell ref="H41:H44"/>
    <mergeCell ref="P41:P42"/>
    <mergeCell ref="Q41:Q42"/>
    <mergeCell ref="R41:R42"/>
    <mergeCell ref="M98:M100"/>
    <mergeCell ref="N98:N100"/>
    <mergeCell ref="O98:O100"/>
    <mergeCell ref="P98:P99"/>
    <mergeCell ref="Q98:Q99"/>
    <mergeCell ref="R98:R99"/>
    <mergeCell ref="S98:S99"/>
    <mergeCell ref="O56:O58"/>
    <mergeCell ref="E70:W70"/>
    <mergeCell ref="E62:W62"/>
    <mergeCell ref="E63:W63"/>
    <mergeCell ref="E64:W64"/>
    <mergeCell ref="E65:W65"/>
    <mergeCell ref="E66:W66"/>
    <mergeCell ref="L72:L74"/>
    <mergeCell ref="M72:M74"/>
    <mergeCell ref="E68:W68"/>
    <mergeCell ref="E69:W69"/>
    <mergeCell ref="K82:K85"/>
    <mergeCell ref="E46:E50"/>
    <mergeCell ref="F46:F50"/>
    <mergeCell ref="H46:H49"/>
    <mergeCell ref="G46:G50"/>
    <mergeCell ref="R13:R14"/>
    <mergeCell ref="S13:S14"/>
    <mergeCell ref="M51:M53"/>
    <mergeCell ref="N51:N53"/>
    <mergeCell ref="O51:O53"/>
    <mergeCell ref="N41:N43"/>
    <mergeCell ref="D98:D102"/>
    <mergeCell ref="E98:E102"/>
    <mergeCell ref="F98:F102"/>
    <mergeCell ref="G98:G102"/>
    <mergeCell ref="H98:H101"/>
    <mergeCell ref="I98:I101"/>
    <mergeCell ref="J98:J101"/>
    <mergeCell ref="K98:K101"/>
    <mergeCell ref="L98:L100"/>
    <mergeCell ref="P56:P57"/>
    <mergeCell ref="Q56:Q57"/>
    <mergeCell ref="R56:R57"/>
    <mergeCell ref="S56:S57"/>
    <mergeCell ref="P51:P52"/>
    <mergeCell ref="Q51:Q52"/>
    <mergeCell ref="R51:R52"/>
    <mergeCell ref="S51:S52"/>
    <mergeCell ref="P108:P109"/>
    <mergeCell ref="Q108:Q109"/>
    <mergeCell ref="R108:R109"/>
    <mergeCell ref="S108:S109"/>
    <mergeCell ref="D103:D107"/>
    <mergeCell ref="E103:E107"/>
    <mergeCell ref="F103:F107"/>
    <mergeCell ref="G103:G107"/>
    <mergeCell ref="H103:H106"/>
    <mergeCell ref="I103:I106"/>
    <mergeCell ref="J103:J106"/>
    <mergeCell ref="K103:K106"/>
    <mergeCell ref="L103:L105"/>
    <mergeCell ref="S114:S115"/>
    <mergeCell ref="D114:D118"/>
    <mergeCell ref="E114:E118"/>
    <mergeCell ref="F114:F118"/>
    <mergeCell ref="G114:G118"/>
    <mergeCell ref="M103:M105"/>
    <mergeCell ref="N103:N105"/>
    <mergeCell ref="O103:O105"/>
    <mergeCell ref="P103:P104"/>
    <mergeCell ref="Q103:Q104"/>
    <mergeCell ref="R103:R104"/>
    <mergeCell ref="S103:S104"/>
    <mergeCell ref="D108:D112"/>
    <mergeCell ref="E108:E112"/>
    <mergeCell ref="F108:F112"/>
    <mergeCell ref="G108:G112"/>
    <mergeCell ref="H108:H111"/>
    <mergeCell ref="I108:I111"/>
    <mergeCell ref="J108:J111"/>
    <mergeCell ref="K108:K111"/>
    <mergeCell ref="L108:L110"/>
    <mergeCell ref="M108:M110"/>
    <mergeCell ref="N108:N110"/>
    <mergeCell ref="O108:O110"/>
    <mergeCell ref="O114:O116"/>
    <mergeCell ref="M119:M121"/>
    <mergeCell ref="N119:N121"/>
    <mergeCell ref="O119:O121"/>
    <mergeCell ref="P114:P115"/>
    <mergeCell ref="Q114:Q115"/>
    <mergeCell ref="R114:R115"/>
    <mergeCell ref="P119:P120"/>
    <mergeCell ref="Q119:Q120"/>
    <mergeCell ref="R119:R120"/>
    <mergeCell ref="K119:K122"/>
    <mergeCell ref="L119:L121"/>
    <mergeCell ref="H114:H117"/>
    <mergeCell ref="I114:I117"/>
    <mergeCell ref="J114:J117"/>
    <mergeCell ref="K114:K117"/>
    <mergeCell ref="L114:L116"/>
    <mergeCell ref="M114:M116"/>
    <mergeCell ref="N114:N116"/>
    <mergeCell ref="S119:S120"/>
    <mergeCell ref="D124:D128"/>
    <mergeCell ref="E124:E128"/>
    <mergeCell ref="F124:F128"/>
    <mergeCell ref="G124:G128"/>
    <mergeCell ref="H124:H127"/>
    <mergeCell ref="I124:I127"/>
    <mergeCell ref="J124:J127"/>
    <mergeCell ref="K124:K127"/>
    <mergeCell ref="L124:L126"/>
    <mergeCell ref="M124:M126"/>
    <mergeCell ref="N124:N126"/>
    <mergeCell ref="O124:O126"/>
    <mergeCell ref="P124:P125"/>
    <mergeCell ref="Q124:Q125"/>
    <mergeCell ref="R124:R125"/>
    <mergeCell ref="S124:S125"/>
    <mergeCell ref="D119:D123"/>
    <mergeCell ref="E119:E123"/>
    <mergeCell ref="F119:F123"/>
    <mergeCell ref="G119:G123"/>
    <mergeCell ref="H119:H122"/>
    <mergeCell ref="I119:I122"/>
    <mergeCell ref="J119:J122"/>
    <mergeCell ref="I18:I21"/>
    <mergeCell ref="L18:L20"/>
    <mergeCell ref="N18:N20"/>
    <mergeCell ref="J18:J21"/>
    <mergeCell ref="H18:H21"/>
    <mergeCell ref="M18:M20"/>
    <mergeCell ref="O18:O20"/>
    <mergeCell ref="S18:S19"/>
    <mergeCell ref="P18:P19"/>
    <mergeCell ref="Q18:Q19"/>
    <mergeCell ref="R18:R19"/>
    <mergeCell ref="K18:K21"/>
    <mergeCell ref="I31:I34"/>
    <mergeCell ref="L31:L33"/>
    <mergeCell ref="N31:N33"/>
    <mergeCell ref="J31:J34"/>
    <mergeCell ref="H31:H34"/>
    <mergeCell ref="M31:M33"/>
    <mergeCell ref="O31:O33"/>
    <mergeCell ref="S31:S32"/>
    <mergeCell ref="P31:P32"/>
    <mergeCell ref="Q31:Q32"/>
    <mergeCell ref="R31:R32"/>
    <mergeCell ref="K31:K34"/>
    <mergeCell ref="I36:I39"/>
    <mergeCell ref="L36:L38"/>
    <mergeCell ref="N36:N38"/>
    <mergeCell ref="J36:J39"/>
    <mergeCell ref="H36:H39"/>
    <mergeCell ref="M36:M38"/>
    <mergeCell ref="O36:O38"/>
    <mergeCell ref="S36:S37"/>
    <mergeCell ref="P36:P37"/>
    <mergeCell ref="Q36:Q37"/>
    <mergeCell ref="R36:R37"/>
    <mergeCell ref="K36:K39"/>
    <mergeCell ref="O22:O24"/>
    <mergeCell ref="P22:P23"/>
    <mergeCell ref="Q22:Q23"/>
    <mergeCell ref="R22:R23"/>
    <mergeCell ref="S22:S23"/>
    <mergeCell ref="H22:H25"/>
    <mergeCell ref="I22:I25"/>
    <mergeCell ref="J22:J25"/>
    <mergeCell ref="K22:K25"/>
    <mergeCell ref="L22:L24"/>
    <mergeCell ref="M22:M24"/>
    <mergeCell ref="N22:N24"/>
    <mergeCell ref="O26:O28"/>
    <mergeCell ref="P26:P27"/>
    <mergeCell ref="Q26:Q27"/>
    <mergeCell ref="R26:R27"/>
    <mergeCell ref="S26:S27"/>
    <mergeCell ref="H26:H29"/>
    <mergeCell ref="I26:I29"/>
    <mergeCell ref="J26:J29"/>
    <mergeCell ref="K26:K29"/>
    <mergeCell ref="L26:L28"/>
    <mergeCell ref="M26:M28"/>
    <mergeCell ref="N26:N28"/>
  </mergeCells>
  <dataValidations count="85">
    <dataValidation allowBlank="1" showInputMessage="1" showErrorMessage="1" prompt="Выберите виды деятельности, выполнив двойной щелчок левой кнопки мыши по ячейке." sqref="G13:G21 G30:G60 G72:G96 G98:G112 G114:G128"/>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1:N53 N46:N48 N41:N43 N13:N15 N72:N74 N87:N89 N92:N94 N77:N79 N82:N84 N56:N58 N98:N100 N103:N105 N108:N110 N119:N121 N114:N116 N124:N126">
      <formula1>DESCRIPTION_TERRITORY</formula1>
    </dataValidation>
    <dataValidation type="textLength" operator="lessThanOrEqual" allowBlank="1" showInputMessage="1" showErrorMessage="1" errorTitle="Ошибка" error="Допускается ввод не более 900 символов!" sqref="J41:J42 J13:J14 J51:J52 R51:R52 V51:W51 J46:J47 R41:R42 R13:R14 R46:R47 V41:W41 V13:W13 V46:W46 J72:J73 R72:R73 V72:W72 J77:J78 R77:R78 V77:W77 J87:J88 R87:R88 V87:W87 J82:J83 R82:R83 V82:W82 J92:J93 R92:R93 V92:W92 J56:J57 R56:R57 V56:W56 J98:J99 R98:R99 V98:W98 J103:J104 R103:R104 V103:W103 J108:J109 R108:R109 V108:W108 J119:J120 R119:R120 V119:W119 J114:J115 R114:R115 V114:W114 J124:J125 R124:R125 V124:W124">
      <formula1>900</formula1>
    </dataValidation>
    <dataValidation allowBlank="1" showInputMessage="1" showErrorMessage="1" prompt="Для выбора выполните двойной щелчок левой клавиши мыши по соответствующей ячейке." sqref="K41:K42 K13:K14 K51:K52 O51:O52 S51:S52 K46:K47 O41:O42 O46:O47 S41:S42 S46:S47 F13:F21 F30:F60 O13:O14 S13:S14 K72:K73 O72:O73 S72:S73 K77:K78 O77:O78 S77:S78 K87:K88 O87:O88 S87:S88 K82:K83 O82:O83 K92:K93 O92:O93 S56:S57 S82:S83 S92:S93 K56:K57 O56:O57 F72:F96 O98:O99 S98:S99 O103:O104 S103:S104 S108:S109 K98:K99 K103:K104 K108:K109 O108:O109 F98:F112 K119:K120 O119:O120 K114:K115 O114:O115 S119:S120 F114:F128 S114:S115 K124:K125 O124:O125 S124:S125"/>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Для выбора выполните двойной щелчок левой клавиши мыши по соответствующей ячейке." sqref="K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O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V18">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J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Для выбора выполните двойной щелчок левой клавиши мыши по соответствующей ячейке." sqref="S1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 type="textLength" operator="lessThanOrEqual" allowBlank="1" showInputMessage="1" showErrorMessage="1" errorTitle="Ошибка" error="Допускается ввод не более 900 символов!" sqref="J31">
      <formula1>900</formula1>
    </dataValidation>
    <dataValidation allowBlank="1" showInputMessage="1" showErrorMessage="1" prompt="Для выбора выполните двойной щелчок левой клавиши мыши по соответствующей ячейке." sqref="K3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1"/>
    <dataValidation allowBlank="1" showInputMessage="1" showErrorMessage="1" prompt="Для выбора выполните двойной щелчок левой клавиши мыши по соответствующей ячейке." sqref="O31"/>
    <dataValidation type="textLength" operator="lessThanOrEqual" allowBlank="1" showInputMessage="1" showErrorMessage="1" errorTitle="Ошибка" error="Допускается ввод не более 900 символов!" sqref="R31">
      <formula1>900</formula1>
    </dataValidation>
    <dataValidation allowBlank="1" showInputMessage="1" showErrorMessage="1" prompt="Для выбора выполните двойной щелчок левой клавиши мыши по соответствующей ячейке." sqref="S31"/>
    <dataValidation type="textLength" operator="lessThanOrEqual" allowBlank="1" showInputMessage="1" showErrorMessage="1" errorTitle="Ошибка" error="Допускается ввод не более 900 символов!" sqref="V31">
      <formula1>900</formula1>
    </dataValidation>
    <dataValidation type="textLength" operator="lessThanOrEqual" allowBlank="1" showInputMessage="1" showErrorMessage="1" errorTitle="Ошибка" error="Допускается ввод не более 900 символов!" sqref="W31">
      <formula1>900</formula1>
    </dataValidation>
    <dataValidation type="textLength" operator="lessThanOrEqual" allowBlank="1" showInputMessage="1" showErrorMessage="1" errorTitle="Ошибка" error="Допускается ввод не более 900 символов!" sqref="J3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2"/>
    <dataValidation type="textLength" operator="lessThanOrEqual" allowBlank="1" showInputMessage="1" showErrorMessage="1" errorTitle="Ошибка" error="Допускается ввод не более 900 символов!" sqref="R32">
      <formula1>900</formula1>
    </dataValidation>
    <dataValidation allowBlank="1" showInputMessage="1" showErrorMessage="1" prompt="Для выбора выполните двойной щелчок левой клавиши мыши по соответствующей ячейке." sqref="S3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3"/>
    <dataValidation type="textLength" operator="lessThanOrEqual" allowBlank="1" showInputMessage="1" showErrorMessage="1" errorTitle="Ошибка" error="Допускается ввод не более 900 символов!" sqref="J36">
      <formula1>900</formula1>
    </dataValidation>
    <dataValidation allowBlank="1" showInputMessage="1" showErrorMessage="1" prompt="Для выбора выполните двойной щелчок левой клавиши мыши по соответствующей ячейке." sqref="K3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6"/>
    <dataValidation allowBlank="1" showInputMessage="1" showErrorMessage="1" prompt="Для выбора выполните двойной щелчок левой клавиши мыши по соответствующей ячейке." sqref="O36"/>
    <dataValidation type="textLength" operator="lessThanOrEqual" allowBlank="1" showInputMessage="1" showErrorMessage="1" errorTitle="Ошибка" error="Допускается ввод не более 900 символов!" sqref="R36">
      <formula1>900</formula1>
    </dataValidation>
    <dataValidation allowBlank="1" showInputMessage="1" showErrorMessage="1" prompt="Для выбора выполните двойной щелчок левой клавиши мыши по соответствующей ячейке." sqref="S36"/>
    <dataValidation type="textLength" operator="lessThanOrEqual" allowBlank="1" showInputMessage="1" showErrorMessage="1" errorTitle="Ошибка" error="Допускается ввод не более 900 символов!" sqref="V36">
      <formula1>900</formula1>
    </dataValidation>
    <dataValidation type="textLength" operator="lessThanOrEqual" allowBlank="1" showInputMessage="1" showErrorMessage="1" errorTitle="Ошибка" error="Допускается ввод не более 900 символов!" sqref="W36">
      <formula1>900</formula1>
    </dataValidation>
    <dataValidation type="textLength" operator="lessThanOrEqual" allowBlank="1" showInputMessage="1" showErrorMessage="1" errorTitle="Ошибка" error="Допускается ввод не более 900 символов!" sqref="J37">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7"/>
    <dataValidation type="textLength" operator="lessThanOrEqual" allowBlank="1" showInputMessage="1" showErrorMessage="1" errorTitle="Ошибка" error="Допускается ввод не более 900 символов!" sqref="R37">
      <formula1>900</formula1>
    </dataValidation>
    <dataValidation allowBlank="1" showInputMessage="1" showErrorMessage="1" prompt="Для выбора выполните двойной щелчок левой клавиши мыши по соответствующей ячейке." sqref="S3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8"/>
    <dataValidation allowBlank="1" showInputMessage="1" showErrorMessage="1" prompt="Для выбора выполните двойной щелчок левой клавиши мыши по соответствующей ячейке." sqref="F22"/>
    <dataValidation allowBlank="1" showInputMessage="1" showErrorMessage="1" prompt="Выберите виды деятельности, выполнив двойной щелчок левой кнопки мыши по ячейке." sqref="G22"/>
    <dataValidation type="textLength" operator="lessThanOrEqual" allowBlank="1" showInputMessage="1" showErrorMessage="1" errorTitle="Ошибка" error="Допускается ввод не более 900 символов!" sqref="J22">
      <formula1>900</formula1>
    </dataValidation>
    <dataValidation allowBlank="1" showInputMessage="1" showErrorMessage="1" prompt="Для выбора выполните двойной щелчок левой клавиши мыши по соответствующей ячейке." sqref="K2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2"/>
    <dataValidation allowBlank="1" showInputMessage="1" showErrorMessage="1" prompt="Для выбора выполните двойной щелчок левой клавиши мыши по соответствующей ячейке." sqref="O22"/>
    <dataValidation type="textLength" operator="lessThanOrEqual" allowBlank="1" showInputMessage="1" showErrorMessage="1" errorTitle="Ошибка" error="Допускается ввод не более 900 символов!" sqref="R22">
      <formula1>900</formula1>
    </dataValidation>
    <dataValidation allowBlank="1" showInputMessage="1" showErrorMessage="1" prompt="Для выбора выполните двойной щелчок левой клавиши мыши по соответствующей ячейке." sqref="S22"/>
    <dataValidation type="textLength" operator="lessThanOrEqual" allowBlank="1" showInputMessage="1" showErrorMessage="1" errorTitle="Ошибка" error="Допускается ввод не более 900 символов!" sqref="V22">
      <formula1>900</formula1>
    </dataValidation>
    <dataValidation type="textLength" operator="lessThanOrEqual" allowBlank="1" showInputMessage="1" showErrorMessage="1" errorTitle="Ошибка" error="Допускается ввод не более 900 символов!" sqref="W22">
      <formula1>900</formula1>
    </dataValidation>
    <dataValidation allowBlank="1" showInputMessage="1" showErrorMessage="1" prompt="Для выбора выполните двойной щелчок левой клавиши мыши по соответствующей ячейке." sqref="F23"/>
    <dataValidation allowBlank="1" showInputMessage="1" showErrorMessage="1" prompt="Выберите виды деятельности, выполнив двойной щелчок левой кнопки мыши по ячейке." sqref="G23"/>
    <dataValidation type="textLength" operator="lessThanOrEqual" allowBlank="1" showInputMessage="1" showErrorMessage="1" errorTitle="Ошибка" error="Допускается ввод не более 900 символов!" sqref="J23">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3"/>
    <dataValidation type="textLength" operator="lessThanOrEqual" allowBlank="1" showInputMessage="1" showErrorMessage="1" errorTitle="Ошибка" error="Допускается ввод не более 900 символов!" sqref="R23">
      <formula1>900</formula1>
    </dataValidation>
    <dataValidation allowBlank="1" showInputMessage="1" showErrorMessage="1" prompt="Для выбора выполните двойной щелчок левой клавиши мыши по соответствующей ячейке." sqref="S23"/>
    <dataValidation allowBlank="1" showInputMessage="1" showErrorMessage="1" prompt="Для выбора выполните двойной щелчок левой клавиши мыши по соответствующей ячейке." sqref="F24"/>
    <dataValidation allowBlank="1" showInputMessage="1" showErrorMessage="1" prompt="Выберите виды деятельности, выполнив двойной щелчок левой кнопки мыши по ячейке." sqref="G2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4"/>
    <dataValidation allowBlank="1" showInputMessage="1" showErrorMessage="1" prompt="Для выбора выполните двойной щелчок левой клавиши мыши по соответствующей ячейке." sqref="F25"/>
    <dataValidation allowBlank="1" showInputMessage="1" showErrorMessage="1" prompt="Выберите виды деятельности, выполнив двойной щелчок левой кнопки мыши по ячейке." sqref="G25"/>
    <dataValidation allowBlank="1" showInputMessage="1" showErrorMessage="1" prompt="Для выбора выполните двойной щелчок левой клавиши мыши по соответствующей ячейке." sqref="F26"/>
    <dataValidation allowBlank="1" showInputMessage="1" showErrorMessage="1" prompt="Выберите виды деятельности, выполнив двойной щелчок левой кнопки мыши по ячейке." sqref="G26"/>
    <dataValidation type="textLength" operator="lessThanOrEqual" allowBlank="1" showInputMessage="1" showErrorMessage="1" errorTitle="Ошибка" error="Допускается ввод не более 900 символов!" sqref="J26">
      <formula1>900</formula1>
    </dataValidation>
    <dataValidation allowBlank="1" showInputMessage="1" showErrorMessage="1" prompt="Для выбора выполните двойной щелчок левой клавиши мыши по соответствующей ячейке." sqref="K2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6"/>
    <dataValidation allowBlank="1" showInputMessage="1" showErrorMessage="1" prompt="Для выбора выполните двойной щелчок левой клавиши мыши по соответствующей ячейке." sqref="O26"/>
    <dataValidation type="textLength" operator="lessThanOrEqual" allowBlank="1" showInputMessage="1" showErrorMessage="1" errorTitle="Ошибка" error="Допускается ввод не более 900 символов!" sqref="R26">
      <formula1>900</formula1>
    </dataValidation>
    <dataValidation allowBlank="1" showInputMessage="1" showErrorMessage="1" prompt="Для выбора выполните двойной щелчок левой клавиши мыши по соответствующей ячейке." sqref="S26"/>
    <dataValidation type="textLength" operator="lessThanOrEqual" allowBlank="1" showInputMessage="1" showErrorMessage="1" errorTitle="Ошибка" error="Допускается ввод не более 900 символов!" sqref="V26">
      <formula1>900</formula1>
    </dataValidation>
    <dataValidation type="textLength" operator="lessThanOrEqual" allowBlank="1" showInputMessage="1" showErrorMessage="1" errorTitle="Ошибка" error="Допускается ввод не более 900 символов!" sqref="W26">
      <formula1>900</formula1>
    </dataValidation>
    <dataValidation allowBlank="1" showInputMessage="1" showErrorMessage="1" prompt="Для выбора выполните двойной щелчок левой клавиши мыши по соответствующей ячейке." sqref="F27"/>
    <dataValidation allowBlank="1" showInputMessage="1" showErrorMessage="1" prompt="Выберите виды деятельности, выполнив двойной щелчок левой кнопки мыши по ячейке." sqref="G27"/>
    <dataValidation type="textLength" operator="lessThanOrEqual" allowBlank="1" showInputMessage="1" showErrorMessage="1" errorTitle="Ошибка" error="Допускается ввод не более 900 символов!" sqref="J27">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7"/>
    <dataValidation type="textLength" operator="lessThanOrEqual" allowBlank="1" showInputMessage="1" showErrorMessage="1" errorTitle="Ошибка" error="Допускается ввод не более 900 символов!" sqref="R27">
      <formula1>900</formula1>
    </dataValidation>
    <dataValidation allowBlank="1" showInputMessage="1" showErrorMessage="1" prompt="Для выбора выполните двойной щелчок левой клавиши мыши по соответствующей ячейке." sqref="S27"/>
    <dataValidation allowBlank="1" showInputMessage="1" showErrorMessage="1" prompt="Для выбора выполните двойной щелчок левой клавиши мыши по соответствующей ячейке." sqref="F28"/>
    <dataValidation allowBlank="1" showInputMessage="1" showErrorMessage="1" prompt="Выберите виды деятельности, выполнив двойной щелчок левой кнопки мыши по ячейке." sqref="G2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8"/>
    <dataValidation allowBlank="1" showInputMessage="1" showErrorMessage="1" prompt="Для выбора выполните двойной щелчок левой клавиши мыши по соответствующей ячейке." sqref="F29"/>
    <dataValidation allowBlank="1" showInputMessage="1" showErrorMessage="1" prompt="Выберите виды деятельности, выполнив двойной щелчок левой кнопки мыши по ячейке." sqref="G29"/>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63BE93-485D-4721-F581-BE175A08B12C}"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2437" width="9.140625" hidden="1"/>
    <col min="3" max="4" style="2437" width="3.7109375" customWidth="1"/>
    <col min="5" max="6" style="2437" width="16.00390625" customWidth="1"/>
    <col min="7" max="7" style="2437" width="11.57421875" customWidth="1"/>
    <col min="8" max="9" style="2437" width="3.7109375" customWidth="1"/>
    <col min="10" max="10" style="2437" width="13.140625" customWidth="1"/>
    <col min="11" max="11" style="2437" width="0.28125" customWidth="1"/>
    <col min="12" max="13" style="2437" width="10.7109375" customWidth="1"/>
    <col min="14" max="15" style="2437" width="3.7109375" customWidth="1"/>
    <col min="16" max="16" style="2437" width="19.7109375" customWidth="1"/>
    <col min="17" max="17" style="2437" width="0.28125" customWidth="1"/>
    <col min="18" max="19" style="2437" width="10.7109375" customWidth="1"/>
    <col min="20" max="21" style="2437" width="3.7109375" customWidth="1"/>
    <col min="22" max="22" style="2437" width="25.7109375" customWidth="1"/>
    <col min="23" max="23" style="2437" width="0.28125" customWidth="1"/>
    <col min="24" max="25" style="2437" width="10.7109375" customWidth="1"/>
    <col min="26" max="27" style="2437" width="3.7109375" customWidth="1"/>
    <col min="28" max="28" style="2437" width="16.421875" customWidth="1"/>
    <col min="29" max="29" style="2437" width="0.28125" customWidth="1"/>
    <col min="30" max="31" style="2437" width="10.7109375" customWidth="1"/>
    <col min="32" max="33" style="2437" width="3.7109375" customWidth="1"/>
    <col min="34" max="34" style="2437" width="8.7109375" customWidth="1"/>
    <col min="35" max="35" style="2437" width="21.7109375" customWidth="1"/>
    <col min="36" max="36" style="2437" width="9.140625"/>
    <col min="37" max="37" style="366" width="9.140625"/>
    <col min="38" max="64" style="2437" width="9.140625"/>
  </cols>
  <sheetData>
    <row s="1333" customFormat="1" customHeight="1" ht="11.25" hidden="1">
      <c r="AJ1" s="419"/>
      <c r="AK1" s="419"/>
      <c r="AL1" s="419"/>
      <c r="AM1" s="419"/>
      <c r="AN1" s="419"/>
      <c r="AO1" s="419"/>
      <c r="AP1" s="419"/>
      <c r="AQ1" s="419"/>
      <c r="AR1" s="419"/>
      <c r="AS1" s="419"/>
      <c r="AT1" s="419"/>
      <c r="AU1" s="419"/>
      <c r="AV1" s="419"/>
      <c r="AW1" s="419"/>
      <c r="AX1" s="419"/>
      <c r="AY1" s="419"/>
      <c r="AZ1" s="419"/>
      <c r="BA1" s="419"/>
      <c r="BB1" s="419"/>
      <c r="BC1" s="419"/>
      <c r="BD1" s="419"/>
      <c r="BE1" s="419"/>
      <c r="BF1" s="419"/>
      <c r="BG1" s="419"/>
      <c r="BH1" s="419"/>
      <c r="BI1" s="419"/>
      <c r="BJ1" s="419"/>
      <c r="BK1" s="419"/>
      <c r="BL1" s="419"/>
    </row>
    <row s="1580" customFormat="1" customHeight="1" ht="11.25" hidden="1">
      <c r="L2" s="1580" t="s">
        <v>284</v>
      </c>
      <c r="M2" s="1580" t="s">
        <v>285</v>
      </c>
      <c r="R2" s="1580" t="s">
        <v>286</v>
      </c>
      <c r="S2" s="1580" t="s">
        <v>285</v>
      </c>
      <c r="X2" s="1580" t="s">
        <v>284</v>
      </c>
      <c r="Y2" s="1580" t="s">
        <v>285</v>
      </c>
      <c r="AD2" s="1580" t="s">
        <v>284</v>
      </c>
      <c r="AE2" s="1580" t="s">
        <v>285</v>
      </c>
      <c r="AJ2" s="1601"/>
      <c r="AK2" s="1601"/>
      <c r="AL2" s="1601"/>
      <c r="AM2" s="1601"/>
      <c r="AN2" s="1601"/>
      <c r="AO2" s="1601"/>
      <c r="AP2" s="1601"/>
      <c r="AQ2" s="1601"/>
      <c r="AR2" s="1601"/>
      <c r="AS2" s="1601"/>
      <c r="AT2" s="1601"/>
      <c r="AU2" s="1601"/>
      <c r="AV2" s="1601"/>
      <c r="AW2" s="1601"/>
      <c r="AX2" s="1601"/>
      <c r="AY2" s="1601"/>
      <c r="AZ2" s="1601"/>
      <c r="BA2" s="1601"/>
      <c r="BB2" s="1601"/>
      <c r="BC2" s="1601"/>
      <c r="BD2" s="1601"/>
      <c r="BE2" s="1601"/>
      <c r="BF2" s="1601"/>
      <c r="BG2" s="1601"/>
      <c r="BH2" s="1601"/>
      <c r="BI2" s="1601"/>
      <c r="BJ2" s="1601"/>
      <c r="BK2" s="1601"/>
      <c r="BL2" s="1601"/>
    </row>
    <row s="1581" customFormat="1" customHeight="1" ht="11.25">
      <c r="AJ3" s="0"/>
      <c r="AK3" s="287"/>
      <c r="AL3" s="0"/>
      <c r="AM3" s="0"/>
      <c r="AN3" s="0"/>
      <c r="AO3" s="0"/>
      <c r="AP3" s="0"/>
      <c r="AQ3" s="0"/>
      <c r="AR3" s="0"/>
      <c r="AS3" s="0"/>
      <c r="AT3" s="0"/>
      <c r="AU3" s="0"/>
      <c r="AV3" s="0"/>
      <c r="AW3" s="0"/>
      <c r="AX3" s="0"/>
      <c r="AY3" s="0"/>
      <c r="AZ3" s="0"/>
      <c r="BA3" s="0"/>
      <c r="BB3" s="0"/>
      <c r="BC3" s="0"/>
      <c r="BD3" s="0"/>
      <c r="BE3" s="0"/>
      <c r="BF3" s="0"/>
      <c r="BG3" s="0"/>
      <c r="BH3" s="0"/>
      <c r="BI3" s="0"/>
      <c r="BJ3" s="0"/>
      <c r="BK3" s="0"/>
      <c r="BL3" s="0"/>
    </row>
    <row s="1844" customFormat="1" customHeight="1" ht="33">
      <c r="A4" s="1151"/>
      <c r="B4" s="1150"/>
      <c r="C4" s="1532"/>
      <c r="D4" s="2009" t="s">
        <v>287</v>
      </c>
      <c r="E4" s="2009"/>
      <c r="F4" s="2009"/>
      <c r="G4" s="2009"/>
      <c r="H4" s="2009"/>
      <c r="I4" s="2009"/>
      <c r="J4" s="2009"/>
      <c r="K4" s="694"/>
      <c r="T4" s="1582"/>
      <c r="AJ4" s="1602"/>
      <c r="AK4" s="1603"/>
      <c r="AL4" s="1602"/>
      <c r="AM4" s="1602"/>
      <c r="AN4" s="1602"/>
      <c r="AO4" s="1602"/>
      <c r="AP4" s="1602"/>
      <c r="AQ4" s="1602"/>
      <c r="AR4" s="1602"/>
      <c r="AS4" s="1602"/>
      <c r="AT4" s="1602"/>
      <c r="AU4" s="1602"/>
      <c r="AV4" s="1602"/>
      <c r="AW4" s="1602"/>
      <c r="AX4" s="1602"/>
      <c r="AY4" s="1602"/>
      <c r="AZ4" s="1602"/>
      <c r="BA4" s="1602"/>
      <c r="BB4" s="1602"/>
      <c r="BC4" s="1602"/>
      <c r="BD4" s="1602"/>
      <c r="BE4" s="1602"/>
      <c r="BF4" s="1602"/>
      <c r="BG4" s="1602"/>
      <c r="BH4" s="1602"/>
      <c r="BI4" s="1602"/>
      <c r="BJ4" s="1602"/>
      <c r="BK4" s="1602"/>
      <c r="BL4" s="1602"/>
    </row>
    <row s="1844" customFormat="1" customHeight="1" ht="14.25">
      <c r="A5" s="1657"/>
      <c r="B5" s="1656"/>
      <c r="C5" s="1532"/>
      <c r="D5" s="2035" t="str">
        <f>IF(org=0,"Не определено",org)</f>
        <v>ООО "ПРОМ ИМПУЛЬС"</v>
      </c>
      <c r="E5" s="2035"/>
      <c r="F5" s="2035"/>
      <c r="G5" s="2035"/>
      <c r="H5" s="2035"/>
      <c r="I5" s="2035"/>
      <c r="J5" s="2035"/>
      <c r="K5" s="694"/>
      <c r="T5" s="1582"/>
      <c r="AJ5" s="1602"/>
      <c r="AK5" s="1603"/>
      <c r="AL5" s="1602"/>
      <c r="AM5" s="1602"/>
      <c r="AN5" s="1602"/>
      <c r="AO5" s="1602"/>
      <c r="AP5" s="1602"/>
      <c r="AQ5" s="1602"/>
      <c r="AR5" s="1602"/>
      <c r="AS5" s="1602"/>
      <c r="AT5" s="1602"/>
      <c r="AU5" s="1602"/>
      <c r="AV5" s="1602"/>
      <c r="AW5" s="1602"/>
      <c r="AX5" s="1602"/>
      <c r="AY5" s="1602"/>
      <c r="AZ5" s="1602"/>
      <c r="BA5" s="1602"/>
      <c r="BB5" s="1602"/>
      <c r="BC5" s="1602"/>
      <c r="BD5" s="1602"/>
      <c r="BE5" s="1602"/>
      <c r="BF5" s="1602"/>
      <c r="BG5" s="1602"/>
      <c r="BH5" s="1602"/>
      <c r="BI5" s="1602"/>
      <c r="BJ5" s="1602"/>
      <c r="BK5" s="1602"/>
      <c r="BL5" s="1602"/>
    </row>
    <row s="1844" customFormat="1" customHeight="1" ht="14.25">
      <c r="A6" s="1151"/>
      <c r="B6" s="1150"/>
      <c r="C6" s="1532"/>
      <c r="D6" s="694"/>
      <c r="E6" s="694"/>
      <c r="F6" s="694"/>
      <c r="G6" s="694"/>
      <c r="H6" s="694"/>
      <c r="I6" s="694"/>
      <c r="J6" s="694"/>
      <c r="K6" s="694"/>
      <c r="T6" s="1582"/>
      <c r="AJ6" s="1602"/>
      <c r="AK6" s="1603"/>
      <c r="AL6" s="1602"/>
      <c r="AM6" s="1602"/>
      <c r="AN6" s="1602"/>
      <c r="AO6" s="1602"/>
      <c r="AP6" s="1602"/>
      <c r="AQ6" s="1602"/>
      <c r="AR6" s="1602"/>
      <c r="AS6" s="1602"/>
      <c r="AT6" s="1602"/>
      <c r="AU6" s="1602"/>
      <c r="AV6" s="1602"/>
      <c r="AW6" s="1602"/>
      <c r="AX6" s="1602"/>
      <c r="AY6" s="1602"/>
      <c r="AZ6" s="1602"/>
      <c r="BA6" s="1602"/>
      <c r="BB6" s="1602"/>
      <c r="BC6" s="1602"/>
      <c r="BD6" s="1602"/>
      <c r="BE6" s="1602"/>
      <c r="BF6" s="1602"/>
      <c r="BG6" s="1602"/>
      <c r="BH6" s="1602"/>
      <c r="BI6" s="1602"/>
      <c r="BJ6" s="1602"/>
      <c r="BK6" s="1602"/>
      <c r="BL6" s="1602"/>
    </row>
    <row s="1333" customFormat="1" customHeight="1" ht="0.75">
      <c r="AJ7" s="419"/>
      <c r="AK7" s="419"/>
      <c r="AL7" s="419"/>
      <c r="AM7" s="419"/>
      <c r="AN7" s="419"/>
      <c r="AO7" s="419"/>
      <c r="AP7" s="419"/>
      <c r="AQ7" s="419"/>
      <c r="AR7" s="419"/>
      <c r="AS7" s="419"/>
      <c r="AT7" s="419"/>
      <c r="AU7" s="419"/>
      <c r="AV7" s="419"/>
      <c r="AW7" s="419"/>
      <c r="AX7" s="419"/>
      <c r="AY7" s="419"/>
      <c r="AZ7" s="419"/>
      <c r="BA7" s="419"/>
      <c r="BB7" s="419"/>
      <c r="BC7" s="419"/>
      <c r="BD7" s="419"/>
      <c r="BE7" s="419"/>
      <c r="BF7" s="419"/>
      <c r="BG7" s="419"/>
      <c r="BH7" s="419"/>
      <c r="BI7" s="419"/>
      <c r="BJ7" s="419"/>
      <c r="BK7" s="419"/>
      <c r="BL7" s="419"/>
    </row>
    <row customHeight="1" ht="31.5">
      <c r="D8" s="1953" t="s">
        <v>87</v>
      </c>
      <c r="E8" s="1953" t="s">
        <v>104</v>
      </c>
      <c r="F8" s="2011" t="s">
        <v>121</v>
      </c>
      <c r="G8" s="2012"/>
      <c r="H8" s="2011" t="s">
        <v>87</v>
      </c>
      <c r="I8" s="2012"/>
      <c r="J8" s="1953" t="s">
        <v>122</v>
      </c>
      <c r="K8" s="1583"/>
      <c r="L8" s="2015" t="s">
        <v>288</v>
      </c>
      <c r="M8" s="2015"/>
      <c r="N8" s="2015"/>
      <c r="O8" s="2015"/>
      <c r="P8" s="2015"/>
      <c r="Q8" s="1584"/>
      <c r="R8" s="1932" t="s">
        <v>289</v>
      </c>
      <c r="S8" s="2016"/>
      <c r="T8" s="2016"/>
      <c r="U8" s="2016"/>
      <c r="V8" s="2016"/>
      <c r="W8" s="1584"/>
      <c r="X8" s="2017" t="s">
        <v>290</v>
      </c>
      <c r="Y8" s="2017"/>
      <c r="Z8" s="2017"/>
      <c r="AA8" s="2017"/>
      <c r="AB8" s="2017"/>
      <c r="AC8" s="1585"/>
      <c r="AD8" s="1953" t="s">
        <v>291</v>
      </c>
      <c r="AE8" s="1953"/>
      <c r="AF8" s="1953"/>
      <c r="AG8" s="1953"/>
      <c r="AH8" s="1937"/>
      <c r="AI8" s="1953" t="s">
        <v>292</v>
      </c>
      <c r="AJ8" s="0"/>
    </row>
    <row customHeight="1" ht="22.5">
      <c r="D9" s="1953"/>
      <c r="E9" s="1953"/>
      <c r="F9" s="2010" t="s">
        <v>88</v>
      </c>
      <c r="G9" s="2010" t="s">
        <v>127</v>
      </c>
      <c r="H9" s="2013"/>
      <c r="I9" s="2014"/>
      <c r="J9" s="1937"/>
      <c r="K9" s="1586"/>
      <c r="L9" s="1953" t="s">
        <v>293</v>
      </c>
      <c r="M9" s="1937"/>
      <c r="N9" s="2011" t="s">
        <v>87</v>
      </c>
      <c r="O9" s="2012"/>
      <c r="P9" s="1953" t="s">
        <v>128</v>
      </c>
      <c r="Q9" s="1583"/>
      <c r="R9" s="1953" t="s">
        <v>293</v>
      </c>
      <c r="S9" s="1937"/>
      <c r="T9" s="2011" t="s">
        <v>87</v>
      </c>
      <c r="U9" s="2012"/>
      <c r="V9" s="1953" t="s">
        <v>128</v>
      </c>
      <c r="W9" s="1583"/>
      <c r="X9" s="1953" t="s">
        <v>293</v>
      </c>
      <c r="Y9" s="1937"/>
      <c r="Z9" s="2011" t="s">
        <v>87</v>
      </c>
      <c r="AA9" s="2012"/>
      <c r="AB9" s="1953" t="s">
        <v>294</v>
      </c>
      <c r="AC9" s="1583"/>
      <c r="AD9" s="1953" t="s">
        <v>293</v>
      </c>
      <c r="AE9" s="1937"/>
      <c r="AF9" s="2011" t="s">
        <v>87</v>
      </c>
      <c r="AG9" s="2012"/>
      <c r="AH9" s="1937" t="s">
        <v>294</v>
      </c>
      <c r="AI9" s="1953"/>
      <c r="AJ9" s="0"/>
    </row>
    <row customHeight="1" ht="22.5">
      <c r="D10" s="2010"/>
      <c r="E10" s="2010"/>
      <c r="F10" s="2018"/>
      <c r="G10" s="2018"/>
      <c r="H10" s="2019"/>
      <c r="I10" s="2020"/>
      <c r="J10" s="2011"/>
      <c r="K10" s="1586"/>
      <c r="L10" s="1604" t="s">
        <v>295</v>
      </c>
      <c r="M10" s="1600" t="s">
        <v>296</v>
      </c>
      <c r="N10" s="2013"/>
      <c r="O10" s="2014"/>
      <c r="P10" s="2010"/>
      <c r="Q10" s="1583"/>
      <c r="R10" s="1604" t="s">
        <v>295</v>
      </c>
      <c r="S10" s="1600" t="s">
        <v>296</v>
      </c>
      <c r="T10" s="2013"/>
      <c r="U10" s="2014"/>
      <c r="V10" s="2010"/>
      <c r="W10" s="1583"/>
      <c r="X10" s="1604" t="s">
        <v>295</v>
      </c>
      <c r="Y10" s="1600" t="s">
        <v>296</v>
      </c>
      <c r="Z10" s="2013"/>
      <c r="AA10" s="2014"/>
      <c r="AB10" s="2010"/>
      <c r="AC10" s="1583"/>
      <c r="AD10" s="1604" t="s">
        <v>295</v>
      </c>
      <c r="AE10" s="1600" t="s">
        <v>296</v>
      </c>
      <c r="AF10" s="2013"/>
      <c r="AG10" s="2014"/>
      <c r="AH10" s="2011"/>
      <c r="AI10" s="2010"/>
      <c r="AJ10" s="0"/>
      <c r="AK10" s="233" t="s">
        <v>297</v>
      </c>
      <c r="AL10" s="233" t="s">
        <v>129</v>
      </c>
    </row>
    <row customHeight="1" ht="14.25">
      <c r="D11" s="2021" t="s">
        <v>108</v>
      </c>
      <c r="E11" s="2023" t="s">
        <v>298</v>
      </c>
      <c r="F11" s="2023" t="s">
        <v>299</v>
      </c>
      <c r="G11" s="2026" t="s">
        <v>56</v>
      </c>
      <c r="H11" s="1625"/>
      <c r="I11" s="2028"/>
      <c r="J11" s="1984"/>
      <c r="K11" s="1531"/>
      <c r="L11" s="1971"/>
      <c r="M11" s="1971"/>
      <c r="N11" s="1610"/>
      <c r="O11" s="1971"/>
      <c r="P11" s="1984"/>
      <c r="Q11" s="1611"/>
      <c r="R11" s="1971"/>
      <c r="S11" s="1971"/>
      <c r="T11" s="1612"/>
      <c r="U11" s="1971"/>
      <c r="V11" s="1984"/>
      <c r="W11" s="1613"/>
      <c r="X11" s="1971"/>
      <c r="Y11" s="1971"/>
      <c r="Z11" s="1610"/>
      <c r="AA11" s="1971"/>
      <c r="AB11" s="1984"/>
      <c r="AC11" s="1614"/>
      <c r="AD11" s="1971"/>
      <c r="AE11" s="1971"/>
      <c r="AF11" s="1530"/>
      <c r="AG11" s="1530"/>
      <c r="AH11" s="1615"/>
      <c r="AI11" s="1313"/>
      <c r="AJ11" s="0"/>
    </row>
    <row customHeight="1" ht="14.25">
      <c r="D12" s="2021"/>
      <c r="E12" s="2023"/>
      <c r="F12" s="2023"/>
      <c r="G12" s="2027"/>
      <c r="H12" s="1626"/>
      <c r="I12" s="2029"/>
      <c r="J12" s="1985"/>
      <c r="K12" s="1635"/>
      <c r="L12" s="1972"/>
      <c r="M12" s="1972"/>
      <c r="N12" s="1616"/>
      <c r="O12" s="1972"/>
      <c r="P12" s="1985"/>
      <c r="Q12" s="1617"/>
      <c r="R12" s="1972"/>
      <c r="S12" s="1972"/>
      <c r="T12" s="1618"/>
      <c r="U12" s="1972"/>
      <c r="V12" s="1985"/>
      <c r="W12" s="1619"/>
      <c r="X12" s="1972"/>
      <c r="Y12" s="1972"/>
      <c r="Z12" s="1616"/>
      <c r="AA12" s="1972"/>
      <c r="AB12" s="1985"/>
      <c r="AC12" s="1620"/>
      <c r="AD12" s="1972"/>
      <c r="AE12" s="1972"/>
      <c r="AF12" s="1621"/>
      <c r="AG12" s="1621"/>
      <c r="AH12" s="2032"/>
      <c r="AI12" s="2033"/>
      <c r="AJ12" s="0"/>
    </row>
    <row customHeight="1" ht="14.25">
      <c r="D13" s="2021"/>
      <c r="E13" s="2023"/>
      <c r="F13" s="2023"/>
      <c r="G13" s="2027"/>
      <c r="H13" s="1626"/>
      <c r="I13" s="2029"/>
      <c r="J13" s="1985"/>
      <c r="K13" s="1635"/>
      <c r="L13" s="1972"/>
      <c r="M13" s="1972"/>
      <c r="N13" s="1616"/>
      <c r="O13" s="1972"/>
      <c r="P13" s="1985"/>
      <c r="Q13" s="1617"/>
      <c r="R13" s="1972"/>
      <c r="S13" s="1972"/>
      <c r="T13" s="1618"/>
      <c r="U13" s="1972"/>
      <c r="V13" s="1985"/>
      <c r="W13" s="1619"/>
      <c r="X13" s="1972"/>
      <c r="Y13" s="1972"/>
      <c r="Z13" s="1529"/>
      <c r="AA13" s="1621"/>
      <c r="AB13" s="2032"/>
      <c r="AC13" s="2032"/>
      <c r="AD13" s="2032"/>
      <c r="AE13" s="2032"/>
      <c r="AF13" s="2032"/>
      <c r="AG13" s="2032"/>
      <c r="AH13" s="2032"/>
      <c r="AI13" s="2033"/>
      <c r="AJ13" s="0"/>
    </row>
    <row customHeight="1" ht="14.25">
      <c r="D14" s="2021"/>
      <c r="E14" s="2023"/>
      <c r="F14" s="2023"/>
      <c r="G14" s="2027"/>
      <c r="H14" s="1626"/>
      <c r="I14" s="2029"/>
      <c r="J14" s="1985"/>
      <c r="K14" s="1635"/>
      <c r="L14" s="1972"/>
      <c r="M14" s="1972"/>
      <c r="N14" s="1616"/>
      <c r="O14" s="1972"/>
      <c r="P14" s="1985"/>
      <c r="Q14" s="1617"/>
      <c r="R14" s="1972"/>
      <c r="S14" s="1972"/>
      <c r="T14" s="1622"/>
      <c r="U14" s="1623"/>
      <c r="V14" s="2032"/>
      <c r="W14" s="2032"/>
      <c r="X14" s="2032"/>
      <c r="Y14" s="2032"/>
      <c r="Z14" s="2032"/>
      <c r="AA14" s="2032"/>
      <c r="AB14" s="2032"/>
      <c r="AC14" s="2032"/>
      <c r="AD14" s="2032"/>
      <c r="AE14" s="2032"/>
      <c r="AF14" s="2032"/>
      <c r="AG14" s="2032"/>
      <c r="AH14" s="2032"/>
      <c r="AI14" s="2033"/>
      <c r="AJ14" s="0"/>
    </row>
    <row customHeight="1" ht="11.25">
      <c r="D15" s="2021"/>
      <c r="E15" s="2023"/>
      <c r="F15" s="2023"/>
      <c r="G15" s="2027"/>
      <c r="H15" s="1627"/>
      <c r="I15" s="2029"/>
      <c r="J15" s="1985"/>
      <c r="K15" s="1635"/>
      <c r="L15" s="1972"/>
      <c r="M15" s="1972"/>
      <c r="N15" s="1621"/>
      <c r="O15" s="1621"/>
      <c r="P15" s="2032"/>
      <c r="Q15" s="2032"/>
      <c r="R15" s="2032"/>
      <c r="S15" s="2032"/>
      <c r="T15" s="2032"/>
      <c r="U15" s="2032"/>
      <c r="V15" s="2032"/>
      <c r="W15" s="2032"/>
      <c r="X15" s="2032"/>
      <c r="Y15" s="2032"/>
      <c r="Z15" s="2032"/>
      <c r="AA15" s="2032"/>
      <c r="AB15" s="2032"/>
      <c r="AC15" s="2032"/>
      <c r="AD15" s="2032"/>
      <c r="AE15" s="2032"/>
      <c r="AF15" s="2032"/>
      <c r="AG15" s="2032"/>
      <c r="AH15" s="2032"/>
      <c r="AI15" s="2033"/>
      <c r="AJ15" s="0"/>
    </row>
    <row s="1581" customFormat="1" customHeight="1" ht="11.25">
      <c r="D16" s="2022"/>
      <c r="E16" s="2024"/>
      <c r="F16" s="2025"/>
      <c r="G16" s="1968"/>
      <c r="H16" s="1624"/>
      <c r="I16" s="1628"/>
      <c r="J16" s="2030"/>
      <c r="K16" s="2030"/>
      <c r="L16" s="2030"/>
      <c r="M16" s="2030"/>
      <c r="N16" s="2030"/>
      <c r="O16" s="2030"/>
      <c r="P16" s="2030"/>
      <c r="Q16" s="2030"/>
      <c r="R16" s="2030"/>
      <c r="S16" s="2030"/>
      <c r="T16" s="2030"/>
      <c r="U16" s="2030"/>
      <c r="V16" s="2030"/>
      <c r="W16" s="2030"/>
      <c r="X16" s="2030"/>
      <c r="Y16" s="2030"/>
      <c r="Z16" s="2030"/>
      <c r="AA16" s="2030"/>
      <c r="AB16" s="2030"/>
      <c r="AC16" s="2030"/>
      <c r="AD16" s="2030"/>
      <c r="AE16" s="2030"/>
      <c r="AF16" s="2030"/>
      <c r="AG16" s="2030"/>
      <c r="AH16" s="2030"/>
      <c r="AI16" s="2031"/>
      <c r="AJ16" s="0"/>
      <c r="AK16" s="287"/>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row>
    <row customHeight="1" ht="14.25">
      <c r="D17" s="2021" t="s">
        <v>109</v>
      </c>
      <c r="E17" s="2023" t="s">
        <v>298</v>
      </c>
      <c r="F17" s="2023" t="s">
        <v>300</v>
      </c>
      <c r="G17" s="2026" t="s">
        <v>56</v>
      </c>
      <c r="H17" s="1625"/>
      <c r="I17" s="2028"/>
      <c r="J17" s="1984"/>
      <c r="K17" s="1531"/>
      <c r="L17" s="1971"/>
      <c r="M17" s="1971"/>
      <c r="N17" s="1610"/>
      <c r="O17" s="1971"/>
      <c r="P17" s="1984"/>
      <c r="Q17" s="1611"/>
      <c r="R17" s="1971"/>
      <c r="S17" s="1971"/>
      <c r="T17" s="1612"/>
      <c r="U17" s="1971"/>
      <c r="V17" s="1984"/>
      <c r="W17" s="1613"/>
      <c r="X17" s="1971"/>
      <c r="Y17" s="1971"/>
      <c r="Z17" s="1610"/>
      <c r="AA17" s="1971"/>
      <c r="AB17" s="1984"/>
      <c r="AC17" s="1614"/>
      <c r="AD17" s="1971"/>
      <c r="AE17" s="1971"/>
      <c r="AF17" s="1530"/>
      <c r="AG17" s="1530"/>
      <c r="AH17" s="1615"/>
      <c r="AI17" s="1313"/>
      <c r="AJ17" s="0"/>
    </row>
    <row customHeight="1" ht="14.25">
      <c r="D18" s="2021"/>
      <c r="E18" s="2023"/>
      <c r="F18" s="2023"/>
      <c r="G18" s="2027"/>
      <c r="H18" s="1626"/>
      <c r="I18" s="2029"/>
      <c r="J18" s="1985"/>
      <c r="K18" s="1609"/>
      <c r="L18" s="1972"/>
      <c r="M18" s="1972"/>
      <c r="N18" s="1616"/>
      <c r="O18" s="1972"/>
      <c r="P18" s="1985"/>
      <c r="Q18" s="1617"/>
      <c r="R18" s="1972"/>
      <c r="S18" s="1972"/>
      <c r="T18" s="1618"/>
      <c r="U18" s="1972"/>
      <c r="V18" s="1985"/>
      <c r="W18" s="1619"/>
      <c r="X18" s="1972"/>
      <c r="Y18" s="1972"/>
      <c r="Z18" s="1616"/>
      <c r="AA18" s="1972"/>
      <c r="AB18" s="1985"/>
      <c r="AC18" s="1620"/>
      <c r="AD18" s="1972"/>
      <c r="AE18" s="1972"/>
      <c r="AF18" s="1621"/>
      <c r="AG18" s="1621"/>
      <c r="AH18" s="2032"/>
      <c r="AI18" s="2033"/>
      <c r="AJ18" s="0"/>
    </row>
    <row customHeight="1" ht="14.25">
      <c r="D19" s="2021"/>
      <c r="E19" s="2023"/>
      <c r="F19" s="2023"/>
      <c r="G19" s="2027"/>
      <c r="H19" s="1626"/>
      <c r="I19" s="2029"/>
      <c r="J19" s="1985"/>
      <c r="K19" s="1609"/>
      <c r="L19" s="1972"/>
      <c r="M19" s="1972"/>
      <c r="N19" s="1616"/>
      <c r="O19" s="1972"/>
      <c r="P19" s="1985"/>
      <c r="Q19" s="1617"/>
      <c r="R19" s="1972"/>
      <c r="S19" s="1972"/>
      <c r="T19" s="1618"/>
      <c r="U19" s="1972"/>
      <c r="V19" s="1985"/>
      <c r="W19" s="1619"/>
      <c r="X19" s="1972"/>
      <c r="Y19" s="1972"/>
      <c r="Z19" s="1529"/>
      <c r="AA19" s="1621"/>
      <c r="AB19" s="2032"/>
      <c r="AC19" s="2032"/>
      <c r="AD19" s="2032"/>
      <c r="AE19" s="2032"/>
      <c r="AF19" s="2032"/>
      <c r="AG19" s="2032"/>
      <c r="AH19" s="2032"/>
      <c r="AI19" s="2033"/>
      <c r="AJ19" s="0"/>
    </row>
    <row customHeight="1" ht="14.25">
      <c r="D20" s="2021"/>
      <c r="E20" s="2023"/>
      <c r="F20" s="2023"/>
      <c r="G20" s="2027"/>
      <c r="H20" s="1626"/>
      <c r="I20" s="2029"/>
      <c r="J20" s="1985"/>
      <c r="K20" s="1609"/>
      <c r="L20" s="1972"/>
      <c r="M20" s="1972"/>
      <c r="N20" s="1616"/>
      <c r="O20" s="1972"/>
      <c r="P20" s="1985"/>
      <c r="Q20" s="1617"/>
      <c r="R20" s="1972"/>
      <c r="S20" s="1972"/>
      <c r="T20" s="1622"/>
      <c r="U20" s="1623"/>
      <c r="V20" s="2032"/>
      <c r="W20" s="2032"/>
      <c r="X20" s="2032"/>
      <c r="Y20" s="2032"/>
      <c r="Z20" s="2032"/>
      <c r="AA20" s="2032"/>
      <c r="AB20" s="2032"/>
      <c r="AC20" s="2032"/>
      <c r="AD20" s="2032"/>
      <c r="AE20" s="2032"/>
      <c r="AF20" s="2032"/>
      <c r="AG20" s="2032"/>
      <c r="AH20" s="2032"/>
      <c r="AI20" s="2033"/>
      <c r="AJ20" s="0"/>
    </row>
    <row customHeight="1" ht="11.25">
      <c r="D21" s="2021"/>
      <c r="E21" s="2023"/>
      <c r="F21" s="2023"/>
      <c r="G21" s="2027"/>
      <c r="H21" s="1627"/>
      <c r="I21" s="2029"/>
      <c r="J21" s="1985"/>
      <c r="K21" s="1609"/>
      <c r="L21" s="1972"/>
      <c r="M21" s="1972"/>
      <c r="N21" s="1621"/>
      <c r="O21" s="1621"/>
      <c r="P21" s="2032"/>
      <c r="Q21" s="2032"/>
      <c r="R21" s="2032"/>
      <c r="S21" s="2032"/>
      <c r="T21" s="2032"/>
      <c r="U21" s="2032"/>
      <c r="V21" s="2032"/>
      <c r="W21" s="2032"/>
      <c r="X21" s="2032"/>
      <c r="Y21" s="2032"/>
      <c r="Z21" s="2032"/>
      <c r="AA21" s="2032"/>
      <c r="AB21" s="2032"/>
      <c r="AC21" s="2032"/>
      <c r="AD21" s="2032"/>
      <c r="AE21" s="2032"/>
      <c r="AF21" s="2032"/>
      <c r="AG21" s="2032"/>
      <c r="AH21" s="2032"/>
      <c r="AI21" s="2033"/>
      <c r="AJ21" s="0"/>
    </row>
    <row s="1581" customFormat="1" customHeight="1" ht="11.25">
      <c r="D22" s="2022"/>
      <c r="E22" s="2024"/>
      <c r="F22" s="2025"/>
      <c r="G22" s="1968"/>
      <c r="H22" s="1624"/>
      <c r="I22" s="1628"/>
      <c r="J22" s="2030"/>
      <c r="K22" s="2030"/>
      <c r="L22" s="2030"/>
      <c r="M22" s="2030"/>
      <c r="N22" s="2030"/>
      <c r="O22" s="2030"/>
      <c r="P22" s="2030"/>
      <c r="Q22" s="2030"/>
      <c r="R22" s="2030"/>
      <c r="S22" s="2030"/>
      <c r="T22" s="2030"/>
      <c r="U22" s="2030"/>
      <c r="V22" s="2030"/>
      <c r="W22" s="2030"/>
      <c r="X22" s="2030"/>
      <c r="Y22" s="2030"/>
      <c r="Z22" s="2030"/>
      <c r="AA22" s="2030"/>
      <c r="AB22" s="2030"/>
      <c r="AC22" s="2030"/>
      <c r="AD22" s="2030"/>
      <c r="AE22" s="2030"/>
      <c r="AF22" s="2030"/>
      <c r="AG22" s="2030"/>
      <c r="AH22" s="2030"/>
      <c r="AI22" s="2031"/>
      <c r="AJ22" s="0"/>
      <c r="AK22" s="287"/>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row>
    <row customHeight="1" ht="14.25">
      <c r="D23" s="2021" t="s">
        <v>89</v>
      </c>
      <c r="E23" s="2023" t="s">
        <v>298</v>
      </c>
      <c r="F23" s="2023" t="s">
        <v>301</v>
      </c>
      <c r="G23" s="2026" t="s">
        <v>56</v>
      </c>
      <c r="H23" s="1625"/>
      <c r="I23" s="2028"/>
      <c r="J23" s="1984"/>
      <c r="K23" s="1531"/>
      <c r="L23" s="1971"/>
      <c r="M23" s="1971"/>
      <c r="N23" s="1610"/>
      <c r="O23" s="1971"/>
      <c r="P23" s="1984"/>
      <c r="Q23" s="1611"/>
      <c r="R23" s="1971"/>
      <c r="S23" s="1971"/>
      <c r="T23" s="1612"/>
      <c r="U23" s="1971"/>
      <c r="V23" s="1984"/>
      <c r="W23" s="1613"/>
      <c r="X23" s="1971"/>
      <c r="Y23" s="1971"/>
      <c r="Z23" s="1610"/>
      <c r="AA23" s="1971"/>
      <c r="AB23" s="1984"/>
      <c r="AC23" s="1614"/>
      <c r="AD23" s="1971"/>
      <c r="AE23" s="1971"/>
      <c r="AF23" s="1530"/>
      <c r="AG23" s="1530"/>
      <c r="AH23" s="1615"/>
      <c r="AI23" s="1313"/>
      <c r="AJ23" s="0"/>
      <c r="AK23" s="287" t="s">
        <v>97</v>
      </c>
    </row>
    <row customHeight="1" ht="14.25">
      <c r="D24" s="2021"/>
      <c r="E24" s="2023"/>
      <c r="F24" s="2023"/>
      <c r="G24" s="2027"/>
      <c r="H24" s="1626"/>
      <c r="I24" s="2029"/>
      <c r="J24" s="1985"/>
      <c r="K24" s="1635"/>
      <c r="L24" s="1972"/>
      <c r="M24" s="1972"/>
      <c r="N24" s="1616"/>
      <c r="O24" s="1972"/>
      <c r="P24" s="1985"/>
      <c r="Q24" s="1617"/>
      <c r="R24" s="1972"/>
      <c r="S24" s="1972"/>
      <c r="T24" s="1618"/>
      <c r="U24" s="1972"/>
      <c r="V24" s="1985"/>
      <c r="W24" s="1619"/>
      <c r="X24" s="1972"/>
      <c r="Y24" s="1972"/>
      <c r="Z24" s="1616"/>
      <c r="AA24" s="1972"/>
      <c r="AB24" s="1985"/>
      <c r="AC24" s="1620"/>
      <c r="AD24" s="1972"/>
      <c r="AE24" s="1972"/>
      <c r="AF24" s="1621"/>
      <c r="AG24" s="1621"/>
      <c r="AH24" s="2032"/>
      <c r="AI24" s="2033"/>
      <c r="AJ24" s="0"/>
    </row>
    <row customHeight="1" ht="14.25">
      <c r="D25" s="2021"/>
      <c r="E25" s="2023"/>
      <c r="F25" s="2023"/>
      <c r="G25" s="2027"/>
      <c r="H25" s="1626"/>
      <c r="I25" s="2029"/>
      <c r="J25" s="1985"/>
      <c r="K25" s="1635"/>
      <c r="L25" s="1972"/>
      <c r="M25" s="1972"/>
      <c r="N25" s="1616"/>
      <c r="O25" s="1972"/>
      <c r="P25" s="1985"/>
      <c r="Q25" s="1617"/>
      <c r="R25" s="1972"/>
      <c r="S25" s="1972"/>
      <c r="T25" s="1618"/>
      <c r="U25" s="1972"/>
      <c r="V25" s="1985"/>
      <c r="W25" s="1619"/>
      <c r="X25" s="1972"/>
      <c r="Y25" s="1972"/>
      <c r="Z25" s="1529"/>
      <c r="AA25" s="1621"/>
      <c r="AB25" s="2032"/>
      <c r="AC25" s="2032"/>
      <c r="AD25" s="2032"/>
      <c r="AE25" s="2032"/>
      <c r="AF25" s="2032"/>
      <c r="AG25" s="2032"/>
      <c r="AH25" s="2032"/>
      <c r="AI25" s="2033"/>
      <c r="AJ25" s="0"/>
    </row>
    <row customHeight="1" ht="14.25">
      <c r="D26" s="2021"/>
      <c r="E26" s="2023"/>
      <c r="F26" s="2023"/>
      <c r="G26" s="2027"/>
      <c r="H26" s="1626"/>
      <c r="I26" s="2029"/>
      <c r="J26" s="1985"/>
      <c r="K26" s="1635"/>
      <c r="L26" s="1972"/>
      <c r="M26" s="1972"/>
      <c r="N26" s="1616"/>
      <c r="O26" s="1972"/>
      <c r="P26" s="1985"/>
      <c r="Q26" s="1617"/>
      <c r="R26" s="1972"/>
      <c r="S26" s="1972"/>
      <c r="T26" s="1622"/>
      <c r="U26" s="1623"/>
      <c r="V26" s="2032"/>
      <c r="W26" s="2032"/>
      <c r="X26" s="2032"/>
      <c r="Y26" s="2032"/>
      <c r="Z26" s="2032"/>
      <c r="AA26" s="2032"/>
      <c r="AB26" s="2032"/>
      <c r="AC26" s="2032"/>
      <c r="AD26" s="2032"/>
      <c r="AE26" s="2032"/>
      <c r="AF26" s="2032"/>
      <c r="AG26" s="2032"/>
      <c r="AH26" s="2032"/>
      <c r="AI26" s="2033"/>
      <c r="AJ26" s="0"/>
    </row>
    <row customHeight="1" ht="11.25">
      <c r="D27" s="2021"/>
      <c r="E27" s="2023"/>
      <c r="F27" s="2023"/>
      <c r="G27" s="2027"/>
      <c r="H27" s="1627"/>
      <c r="I27" s="2029"/>
      <c r="J27" s="1985"/>
      <c r="K27" s="1635"/>
      <c r="L27" s="1972"/>
      <c r="M27" s="1972"/>
      <c r="N27" s="1621"/>
      <c r="O27" s="1621"/>
      <c r="P27" s="2032"/>
      <c r="Q27" s="2032"/>
      <c r="R27" s="2032"/>
      <c r="S27" s="2032"/>
      <c r="T27" s="2032"/>
      <c r="U27" s="2032"/>
      <c r="V27" s="2032"/>
      <c r="W27" s="2032"/>
      <c r="X27" s="2032"/>
      <c r="Y27" s="2032"/>
      <c r="Z27" s="2032"/>
      <c r="AA27" s="2032"/>
      <c r="AB27" s="2032"/>
      <c r="AC27" s="2032"/>
      <c r="AD27" s="2032"/>
      <c r="AE27" s="2032"/>
      <c r="AF27" s="2032"/>
      <c r="AG27" s="2032"/>
      <c r="AH27" s="2032"/>
      <c r="AI27" s="2033"/>
      <c r="AJ27" s="0"/>
    </row>
    <row s="1581" customFormat="1" customHeight="1" ht="11.25">
      <c r="D28" s="2022"/>
      <c r="E28" s="2024"/>
      <c r="F28" s="2025"/>
      <c r="G28" s="1968"/>
      <c r="H28" s="1624"/>
      <c r="I28" s="1628"/>
      <c r="J28" s="2030"/>
      <c r="K28" s="2030"/>
      <c r="L28" s="2030"/>
      <c r="M28" s="2030"/>
      <c r="N28" s="2030"/>
      <c r="O28" s="2030"/>
      <c r="P28" s="2030"/>
      <c r="Q28" s="2030"/>
      <c r="R28" s="2030"/>
      <c r="S28" s="2030"/>
      <c r="T28" s="2030"/>
      <c r="U28" s="2030"/>
      <c r="V28" s="2030"/>
      <c r="W28" s="2030"/>
      <c r="X28" s="2030"/>
      <c r="Y28" s="2030"/>
      <c r="Z28" s="2030"/>
      <c r="AA28" s="2030"/>
      <c r="AB28" s="2030"/>
      <c r="AC28" s="2030"/>
      <c r="AD28" s="2030"/>
      <c r="AE28" s="2030"/>
      <c r="AF28" s="2030"/>
      <c r="AG28" s="2030"/>
      <c r="AH28" s="2030"/>
      <c r="AI28" s="2031"/>
      <c r="AJ28" s="0"/>
      <c r="AK28" s="287"/>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row>
    <row customHeight="1" ht="14.25">
      <c r="D29" s="2021" t="s">
        <v>90</v>
      </c>
      <c r="E29" s="2023" t="s">
        <v>298</v>
      </c>
      <c r="F29" s="2023" t="s">
        <v>302</v>
      </c>
      <c r="G29" s="2026" t="s">
        <v>56</v>
      </c>
      <c r="H29" s="1625"/>
      <c r="I29" s="2028"/>
      <c r="J29" s="1984"/>
      <c r="K29" s="1531"/>
      <c r="L29" s="1971"/>
      <c r="M29" s="1971"/>
      <c r="N29" s="1610"/>
      <c r="O29" s="1971"/>
      <c r="P29" s="1984"/>
      <c r="Q29" s="1611"/>
      <c r="R29" s="1971"/>
      <c r="S29" s="1971"/>
      <c r="T29" s="1612"/>
      <c r="U29" s="1971"/>
      <c r="V29" s="1984"/>
      <c r="W29" s="1613"/>
      <c r="X29" s="1971"/>
      <c r="Y29" s="1971"/>
      <c r="Z29" s="1610"/>
      <c r="AA29" s="1971"/>
      <c r="AB29" s="1984"/>
      <c r="AC29" s="1614"/>
      <c r="AD29" s="1971"/>
      <c r="AE29" s="1971"/>
      <c r="AF29" s="1530"/>
      <c r="AG29" s="1530"/>
      <c r="AH29" s="1615"/>
      <c r="AI29" s="1313"/>
      <c r="AJ29" s="0"/>
    </row>
    <row customHeight="1" ht="14.25">
      <c r="D30" s="2021"/>
      <c r="E30" s="2023"/>
      <c r="F30" s="2023"/>
      <c r="G30" s="2027"/>
      <c r="H30" s="1626"/>
      <c r="I30" s="2029"/>
      <c r="J30" s="1985"/>
      <c r="K30" s="1609"/>
      <c r="L30" s="1972"/>
      <c r="M30" s="1972"/>
      <c r="N30" s="1616"/>
      <c r="O30" s="1972"/>
      <c r="P30" s="1985"/>
      <c r="Q30" s="1617"/>
      <c r="R30" s="1972"/>
      <c r="S30" s="1972"/>
      <c r="T30" s="1618"/>
      <c r="U30" s="1972"/>
      <c r="V30" s="1985"/>
      <c r="W30" s="1619"/>
      <c r="X30" s="1972"/>
      <c r="Y30" s="1972"/>
      <c r="Z30" s="1616"/>
      <c r="AA30" s="1972"/>
      <c r="AB30" s="1985"/>
      <c r="AC30" s="1620"/>
      <c r="AD30" s="1972"/>
      <c r="AE30" s="1972"/>
      <c r="AF30" s="1621"/>
      <c r="AG30" s="1621"/>
      <c r="AH30" s="2032"/>
      <c r="AI30" s="2033"/>
      <c r="AJ30" s="0"/>
    </row>
    <row customHeight="1" ht="14.25">
      <c r="D31" s="2021"/>
      <c r="E31" s="2023"/>
      <c r="F31" s="2023"/>
      <c r="G31" s="2027"/>
      <c r="H31" s="1626"/>
      <c r="I31" s="2029"/>
      <c r="J31" s="1985"/>
      <c r="K31" s="1609"/>
      <c r="L31" s="1972"/>
      <c r="M31" s="1972"/>
      <c r="N31" s="1616"/>
      <c r="O31" s="1972"/>
      <c r="P31" s="1985"/>
      <c r="Q31" s="1617"/>
      <c r="R31" s="1972"/>
      <c r="S31" s="1972"/>
      <c r="T31" s="1618"/>
      <c r="U31" s="1972"/>
      <c r="V31" s="1985"/>
      <c r="W31" s="1619"/>
      <c r="X31" s="1972"/>
      <c r="Y31" s="1972"/>
      <c r="Z31" s="1529"/>
      <c r="AA31" s="1621"/>
      <c r="AB31" s="2032"/>
      <c r="AC31" s="2032"/>
      <c r="AD31" s="2032"/>
      <c r="AE31" s="2032"/>
      <c r="AF31" s="2032"/>
      <c r="AG31" s="2032"/>
      <c r="AH31" s="2032"/>
      <c r="AI31" s="2033"/>
      <c r="AJ31" s="0"/>
    </row>
    <row customHeight="1" ht="14.25">
      <c r="D32" s="2021"/>
      <c r="E32" s="2023"/>
      <c r="F32" s="2023"/>
      <c r="G32" s="2027"/>
      <c r="H32" s="1626"/>
      <c r="I32" s="2029"/>
      <c r="J32" s="1985"/>
      <c r="K32" s="1609"/>
      <c r="L32" s="1972"/>
      <c r="M32" s="1972"/>
      <c r="N32" s="1616"/>
      <c r="O32" s="1972"/>
      <c r="P32" s="1985"/>
      <c r="Q32" s="1617"/>
      <c r="R32" s="1972"/>
      <c r="S32" s="1972"/>
      <c r="T32" s="1622"/>
      <c r="U32" s="1623"/>
      <c r="V32" s="2032"/>
      <c r="W32" s="2032"/>
      <c r="X32" s="2032"/>
      <c r="Y32" s="2032"/>
      <c r="Z32" s="2032"/>
      <c r="AA32" s="2032"/>
      <c r="AB32" s="2032"/>
      <c r="AC32" s="2032"/>
      <c r="AD32" s="2032"/>
      <c r="AE32" s="2032"/>
      <c r="AF32" s="2032"/>
      <c r="AG32" s="2032"/>
      <c r="AH32" s="2032"/>
      <c r="AI32" s="2033"/>
      <c r="AJ32" s="0"/>
    </row>
    <row customHeight="1" ht="11.25">
      <c r="D33" s="2021"/>
      <c r="E33" s="2023"/>
      <c r="F33" s="2023"/>
      <c r="G33" s="2027"/>
      <c r="H33" s="1627"/>
      <c r="I33" s="2029"/>
      <c r="J33" s="1985"/>
      <c r="K33" s="1609"/>
      <c r="L33" s="1972"/>
      <c r="M33" s="1972"/>
      <c r="N33" s="1621"/>
      <c r="O33" s="1621"/>
      <c r="P33" s="2032"/>
      <c r="Q33" s="2032"/>
      <c r="R33" s="2032"/>
      <c r="S33" s="2032"/>
      <c r="T33" s="2032"/>
      <c r="U33" s="2032"/>
      <c r="V33" s="2032"/>
      <c r="W33" s="2032"/>
      <c r="X33" s="2032"/>
      <c r="Y33" s="2032"/>
      <c r="Z33" s="2032"/>
      <c r="AA33" s="2032"/>
      <c r="AB33" s="2032"/>
      <c r="AC33" s="2032"/>
      <c r="AD33" s="2032"/>
      <c r="AE33" s="2032"/>
      <c r="AF33" s="2032"/>
      <c r="AG33" s="2032"/>
      <c r="AH33" s="2032"/>
      <c r="AI33" s="2033"/>
      <c r="AJ33" s="0"/>
    </row>
    <row s="1581" customFormat="1" customHeight="1" ht="11.25">
      <c r="D34" s="2022"/>
      <c r="E34" s="2024"/>
      <c r="F34" s="2025"/>
      <c r="G34" s="1968"/>
      <c r="H34" s="1624"/>
      <c r="I34" s="1628"/>
      <c r="J34" s="2030"/>
      <c r="K34" s="2030"/>
      <c r="L34" s="2030"/>
      <c r="M34" s="2030"/>
      <c r="N34" s="2030"/>
      <c r="O34" s="2030"/>
      <c r="P34" s="2030"/>
      <c r="Q34" s="2030"/>
      <c r="R34" s="2030"/>
      <c r="S34" s="2030"/>
      <c r="T34" s="2030"/>
      <c r="U34" s="2030"/>
      <c r="V34" s="2030"/>
      <c r="W34" s="2030"/>
      <c r="X34" s="2030"/>
      <c r="Y34" s="2030"/>
      <c r="Z34" s="2030"/>
      <c r="AA34" s="2030"/>
      <c r="AB34" s="2030"/>
      <c r="AC34" s="2030"/>
      <c r="AD34" s="2030"/>
      <c r="AE34" s="2030"/>
      <c r="AF34" s="2030"/>
      <c r="AG34" s="2030"/>
      <c r="AH34" s="2030"/>
      <c r="AI34" s="2031"/>
      <c r="AJ34" s="0"/>
      <c r="AK34" s="287"/>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row>
    <row customHeight="1" ht="14.25">
      <c r="D35" s="2021" t="s">
        <v>110</v>
      </c>
      <c r="E35" s="2023" t="s">
        <v>298</v>
      </c>
      <c r="F35" s="2023" t="s">
        <v>303</v>
      </c>
      <c r="G35" s="2026" t="s">
        <v>56</v>
      </c>
      <c r="H35" s="1625"/>
      <c r="I35" s="2028"/>
      <c r="J35" s="1984"/>
      <c r="K35" s="1531"/>
      <c r="L35" s="1971"/>
      <c r="M35" s="1971"/>
      <c r="N35" s="1610"/>
      <c r="O35" s="1971"/>
      <c r="P35" s="1984"/>
      <c r="Q35" s="1611"/>
      <c r="R35" s="1971"/>
      <c r="S35" s="1971"/>
      <c r="T35" s="1612"/>
      <c r="U35" s="1971"/>
      <c r="V35" s="1984"/>
      <c r="W35" s="1613"/>
      <c r="X35" s="1971"/>
      <c r="Y35" s="1971"/>
      <c r="Z35" s="1610"/>
      <c r="AA35" s="1971"/>
      <c r="AB35" s="1984"/>
      <c r="AC35" s="1614"/>
      <c r="AD35" s="1971"/>
      <c r="AE35" s="1971"/>
      <c r="AF35" s="1530"/>
      <c r="AG35" s="1530"/>
      <c r="AH35" s="1615"/>
      <c r="AI35" s="1313"/>
      <c r="AJ35" s="0"/>
    </row>
    <row customHeight="1" ht="14.25">
      <c r="D36" s="2021"/>
      <c r="E36" s="2023"/>
      <c r="F36" s="2023"/>
      <c r="G36" s="2027"/>
      <c r="H36" s="1626"/>
      <c r="I36" s="2029"/>
      <c r="J36" s="1985"/>
      <c r="K36" s="1609"/>
      <c r="L36" s="1972"/>
      <c r="M36" s="1972"/>
      <c r="N36" s="1616"/>
      <c r="O36" s="1972"/>
      <c r="P36" s="1985"/>
      <c r="Q36" s="1617"/>
      <c r="R36" s="1972"/>
      <c r="S36" s="1972"/>
      <c r="T36" s="1618"/>
      <c r="U36" s="1972"/>
      <c r="V36" s="1985"/>
      <c r="W36" s="1619"/>
      <c r="X36" s="1972"/>
      <c r="Y36" s="1972"/>
      <c r="Z36" s="1616"/>
      <c r="AA36" s="1972"/>
      <c r="AB36" s="1985"/>
      <c r="AC36" s="1620"/>
      <c r="AD36" s="1972"/>
      <c r="AE36" s="1972"/>
      <c r="AF36" s="1621"/>
      <c r="AG36" s="1621"/>
      <c r="AH36" s="2032"/>
      <c r="AI36" s="2033"/>
      <c r="AJ36" s="0"/>
    </row>
    <row customHeight="1" ht="14.25">
      <c r="D37" s="2021"/>
      <c r="E37" s="2023"/>
      <c r="F37" s="2023"/>
      <c r="G37" s="2027"/>
      <c r="H37" s="1626"/>
      <c r="I37" s="2029"/>
      <c r="J37" s="1985"/>
      <c r="K37" s="1609"/>
      <c r="L37" s="1972"/>
      <c r="M37" s="1972"/>
      <c r="N37" s="1616"/>
      <c r="O37" s="1972"/>
      <c r="P37" s="1985"/>
      <c r="Q37" s="1617"/>
      <c r="R37" s="1972"/>
      <c r="S37" s="1972"/>
      <c r="T37" s="1618"/>
      <c r="U37" s="1972"/>
      <c r="V37" s="1985"/>
      <c r="W37" s="1619"/>
      <c r="X37" s="1972"/>
      <c r="Y37" s="1972"/>
      <c r="Z37" s="1529"/>
      <c r="AA37" s="1621"/>
      <c r="AB37" s="2032"/>
      <c r="AC37" s="2032"/>
      <c r="AD37" s="2032"/>
      <c r="AE37" s="2032"/>
      <c r="AF37" s="2032"/>
      <c r="AG37" s="2032"/>
      <c r="AH37" s="2032"/>
      <c r="AI37" s="2033"/>
      <c r="AJ37" s="0"/>
    </row>
    <row customHeight="1" ht="14.25">
      <c r="D38" s="2021"/>
      <c r="E38" s="2023"/>
      <c r="F38" s="2023"/>
      <c r="G38" s="2027"/>
      <c r="H38" s="1626"/>
      <c r="I38" s="2029"/>
      <c r="J38" s="1985"/>
      <c r="K38" s="1609"/>
      <c r="L38" s="1972"/>
      <c r="M38" s="1972"/>
      <c r="N38" s="1616"/>
      <c r="O38" s="1972"/>
      <c r="P38" s="1985"/>
      <c r="Q38" s="1617"/>
      <c r="R38" s="1972"/>
      <c r="S38" s="1972"/>
      <c r="T38" s="1622"/>
      <c r="U38" s="1623"/>
      <c r="V38" s="2032"/>
      <c r="W38" s="2032"/>
      <c r="X38" s="2032"/>
      <c r="Y38" s="2032"/>
      <c r="Z38" s="2032"/>
      <c r="AA38" s="2032"/>
      <c r="AB38" s="2032"/>
      <c r="AC38" s="2032"/>
      <c r="AD38" s="2032"/>
      <c r="AE38" s="2032"/>
      <c r="AF38" s="2032"/>
      <c r="AG38" s="2032"/>
      <c r="AH38" s="2032"/>
      <c r="AI38" s="2033"/>
      <c r="AJ38" s="0"/>
    </row>
    <row customHeight="1" ht="11.25">
      <c r="D39" s="2021"/>
      <c r="E39" s="2023"/>
      <c r="F39" s="2023"/>
      <c r="G39" s="2027"/>
      <c r="H39" s="1627"/>
      <c r="I39" s="2029"/>
      <c r="J39" s="1985"/>
      <c r="K39" s="1609"/>
      <c r="L39" s="1972"/>
      <c r="M39" s="1972"/>
      <c r="N39" s="1621"/>
      <c r="O39" s="1621"/>
      <c r="P39" s="2032"/>
      <c r="Q39" s="2032"/>
      <c r="R39" s="2032"/>
      <c r="S39" s="2032"/>
      <c r="T39" s="2032"/>
      <c r="U39" s="2032"/>
      <c r="V39" s="2032"/>
      <c r="W39" s="2032"/>
      <c r="X39" s="2032"/>
      <c r="Y39" s="2032"/>
      <c r="Z39" s="2032"/>
      <c r="AA39" s="2032"/>
      <c r="AB39" s="2032"/>
      <c r="AC39" s="2032"/>
      <c r="AD39" s="2032"/>
      <c r="AE39" s="2032"/>
      <c r="AF39" s="2032"/>
      <c r="AG39" s="2032"/>
      <c r="AH39" s="2032"/>
      <c r="AI39" s="2033"/>
      <c r="AJ39" s="0"/>
    </row>
    <row s="1581" customFormat="1" customHeight="1" ht="11.25">
      <c r="D40" s="2021"/>
      <c r="E40" s="2023"/>
      <c r="F40" s="2034"/>
      <c r="G40" s="1968"/>
      <c r="H40" s="1624"/>
      <c r="I40" s="1628"/>
      <c r="J40" s="2030"/>
      <c r="K40" s="2030"/>
      <c r="L40" s="2030"/>
      <c r="M40" s="2030"/>
      <c r="N40" s="2030"/>
      <c r="O40" s="2030"/>
      <c r="P40" s="2030"/>
      <c r="Q40" s="2030"/>
      <c r="R40" s="2030"/>
      <c r="S40" s="2030"/>
      <c r="T40" s="2030"/>
      <c r="U40" s="2030"/>
      <c r="V40" s="2030"/>
      <c r="W40" s="2030"/>
      <c r="X40" s="2030"/>
      <c r="Y40" s="2030"/>
      <c r="Z40" s="2030"/>
      <c r="AA40" s="2030"/>
      <c r="AB40" s="2030"/>
      <c r="AC40" s="2030"/>
      <c r="AD40" s="2030"/>
      <c r="AE40" s="2030"/>
      <c r="AF40" s="2030"/>
      <c r="AG40" s="2030"/>
      <c r="AH40" s="2030"/>
      <c r="AI40" s="2031"/>
      <c r="AJ40" s="0"/>
      <c r="AK40" s="287"/>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row>
    <row customHeight="1" ht="11.25">
      <c r="AK41" s="0"/>
    </row>
    <row customHeight="1" ht="11.25">
      <c r="AK42" s="0"/>
    </row>
    <row customHeight="1" ht="11.25">
      <c r="AK43" s="0"/>
    </row>
    <row customHeight="1" ht="11.25">
      <c r="AK44" s="0"/>
    </row>
    <row customHeight="1" ht="11.25">
      <c r="AK45" s="0"/>
    </row>
    <row customHeight="1" ht="11.25">
      <c r="AK46" s="0"/>
    </row>
    <row customHeight="1" ht="11.25">
      <c r="AK47" s="0"/>
    </row>
    <row customHeight="1" ht="11.25">
      <c r="AK48" s="0"/>
    </row>
    <row customHeight="1" ht="11.25">
      <c r="AK49" s="0"/>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01732B-DD29-65E2-32C5-84B2FF229424}"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1711" width="15.00390625" hidden="1" customWidth="1"/>
    <col min="2" max="2" style="497" width="15.00390625" hidden="1" customWidth="1"/>
    <col min="3" max="3" style="451" width="3.7109375" customWidth="1"/>
    <col min="4" max="4" style="452" width="6.8515625" customWidth="1"/>
    <col min="5" max="5" style="451" width="52.28125" customWidth="1"/>
    <col min="6" max="6" style="451" width="48.8515625" customWidth="1"/>
    <col min="7" max="7" style="451" width="121.7109375" customWidth="1"/>
    <col min="8" max="8" style="451" width="9.140625"/>
    <col min="9" max="9" style="451" width="65.00390625" customWidth="1"/>
  </cols>
  <sheetData>
    <row customHeight="1" ht="11.25" hidden="1">
      <c r="A1" s="1711" t="s">
        <v>304</v>
      </c>
    </row>
    <row customHeight="1" ht="11.25" hidden="1"/>
    <row s="473" customFormat="1" customHeight="1" ht="11.25">
      <c r="A3" s="1711"/>
      <c r="B3" s="497"/>
      <c r="D3" s="474"/>
    </row>
    <row customHeight="1" ht="25.5">
      <c r="D4" s="2001"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002"/>
      <c r="F4" s="2003"/>
      <c r="I4" s="710"/>
    </row>
    <row customHeight="1" ht="17.25">
      <c r="D5" s="2035" t="str">
        <f>IF(org=0,"Не определено",org)</f>
        <v>ООО "ПРОМ ИМПУЛЬС"</v>
      </c>
      <c r="E5" s="2035"/>
      <c r="F5" s="2035"/>
      <c r="I5" s="710"/>
    </row>
    <row s="473" customFormat="1" customHeight="1" ht="11.25">
      <c r="A6" s="1711"/>
      <c r="B6" s="497"/>
      <c r="D6" s="709"/>
      <c r="E6" s="709"/>
      <c r="F6" s="747"/>
      <c r="G6" s="709"/>
    </row>
    <row customHeight="1" ht="11.25" hidden="1">
      <c r="A7" s="453"/>
      <c r="B7" s="498"/>
      <c r="C7" s="453"/>
      <c r="D7" s="459"/>
      <c r="E7" s="2042"/>
      <c r="F7" s="2042"/>
    </row>
    <row customHeight="1" ht="11.25">
      <c r="A8" s="453"/>
      <c r="B8" s="498"/>
      <c r="C8" s="453"/>
      <c r="D8" s="2038" t="s">
        <v>305</v>
      </c>
      <c r="E8" s="2039"/>
      <c r="F8" s="2039"/>
      <c r="G8" s="2043" t="s">
        <v>306</v>
      </c>
    </row>
    <row customHeight="1" ht="11.25">
      <c r="A9" s="453"/>
      <c r="B9" s="498"/>
      <c r="C9" s="453"/>
      <c r="D9" s="468" t="s">
        <v>87</v>
      </c>
      <c r="E9" s="442" t="s">
        <v>307</v>
      </c>
      <c r="F9" s="442" t="s">
        <v>308</v>
      </c>
      <c r="G9" s="2044"/>
    </row>
    <row customHeight="1" ht="12" hidden="1">
      <c r="A10" s="453"/>
      <c r="B10" s="498"/>
      <c r="C10" s="453"/>
      <c r="D10" s="460"/>
      <c r="E10" s="460"/>
      <c r="F10" s="460"/>
      <c r="G10" s="460"/>
    </row>
    <row customHeight="1" ht="22.5" hidden="1">
      <c r="A11" s="453"/>
      <c r="B11" s="498"/>
      <c r="C11" s="453"/>
      <c r="D11" s="1004" t="s">
        <v>108</v>
      </c>
      <c r="E11" s="1007" t="s">
        <v>309</v>
      </c>
      <c r="F11" s="1006" t="str">
        <f>IF(region_name="","",region_name)</f>
        <v>г.Санкт-Петербург</v>
      </c>
      <c r="G11" s="1007" t="s">
        <v>310</v>
      </c>
      <c r="H11" s="471"/>
    </row>
    <row customHeight="1" ht="22.5" hidden="1">
      <c r="A12" s="453"/>
      <c r="B12" s="498"/>
      <c r="C12" s="453"/>
      <c r="D12" s="441" t="s">
        <v>108</v>
      </c>
      <c r="E12" s="44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39" t="s">
        <v>311</v>
      </c>
      <c r="G12" s="470"/>
      <c r="H12" s="471"/>
    </row>
    <row customHeight="1" ht="22.5">
      <c r="A13" s="453"/>
      <c r="B13" s="498"/>
      <c r="C13" s="453"/>
      <c r="D13" s="441" t="s">
        <v>108</v>
      </c>
      <c r="E13" s="438" t="str">
        <f>"Наименование юридического лица"&amp;IF(TEMPLATE_SPHERE="TKO"," (индивидуального предпринимателя)","")</f>
        <v>Наименование юридического лица</v>
      </c>
      <c r="F13" s="437"/>
      <c r="G13" s="44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1"/>
    </row>
    <row customHeight="1" ht="22.5" hidden="1">
      <c r="A14" s="453"/>
      <c r="B14" s="498"/>
      <c r="C14" s="453"/>
      <c r="D14" s="1004" t="s">
        <v>312</v>
      </c>
      <c r="E14" s="1005" t="s">
        <v>313</v>
      </c>
      <c r="F14" s="1006" t="str">
        <f>IF(inn="","",inn)</f>
        <v>7806520632</v>
      </c>
      <c r="G14" s="1007" t="s">
        <v>314</v>
      </c>
      <c r="H14" s="471"/>
    </row>
    <row customHeight="1" ht="22.5" hidden="1">
      <c r="A15" s="453"/>
      <c r="B15" s="498"/>
      <c r="C15" s="453"/>
      <c r="D15" s="1004" t="s">
        <v>315</v>
      </c>
      <c r="E15" s="1005" t="s">
        <v>316</v>
      </c>
      <c r="F15" s="1006" t="str">
        <f>IF(kpp="","",kpp)</f>
        <v>781001001</v>
      </c>
      <c r="G15" s="1007" t="s">
        <v>317</v>
      </c>
      <c r="H15" s="471"/>
    </row>
    <row customHeight="1" ht="36.75">
      <c r="A16" s="453"/>
      <c r="B16" s="498"/>
      <c r="C16" s="453"/>
      <c r="D16" s="441" t="s">
        <v>109</v>
      </c>
      <c r="E16" s="43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37"/>
      <c r="G16" s="44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1"/>
    </row>
    <row customHeight="1" ht="22.5">
      <c r="A17" s="453"/>
      <c r="B17" s="498"/>
      <c r="C17" s="453"/>
      <c r="D17" s="441" t="s">
        <v>89</v>
      </c>
      <c r="E17" s="438" t="str">
        <f>"Дата присвоения ОГРН"&amp;IF(TEMPLATE_SPHERE="TKO",""," (ОГРНИП)")</f>
        <v>Дата присвоения ОГРН (ОГРНИП)</v>
      </c>
      <c r="F17" s="1756" t="s">
        <v>24</v>
      </c>
      <c r="G17" s="440" t="str">
        <f>"Дата присвоения ОГРН"&amp;IF(TEMPLATE_SPHERE="TKO",""," (ОГРНИП)")&amp;" указывается в виде «ДД.ММ.ГГГГ»."</f>
        <v>Дата присвоения ОГРН (ОГРНИП) указывается в виде «ДД.ММ.ГГГГ».</v>
      </c>
      <c r="H17" s="471"/>
    </row>
    <row customHeight="1" ht="56.25">
      <c r="A18" s="453"/>
      <c r="B18" s="498"/>
      <c r="C18" s="453"/>
      <c r="D18" s="441" t="s">
        <v>90</v>
      </c>
      <c r="E18" s="43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37"/>
      <c r="G18" s="470"/>
      <c r="H18" s="471"/>
    </row>
    <row customHeight="1" ht="22.5" hidden="1">
      <c r="A19" s="2040">
        <v>1</v>
      </c>
      <c r="B19" s="498"/>
      <c r="C19" s="2045"/>
      <c r="D19" s="436">
        <v>5</v>
      </c>
      <c r="E19" s="438" t="s">
        <v>318</v>
      </c>
      <c r="F19" s="439" t="s">
        <v>311</v>
      </c>
      <c r="G19" s="440" t="s">
        <v>319</v>
      </c>
      <c r="H19" s="471"/>
      <c r="I19" s="846"/>
    </row>
    <row customHeight="1" ht="33.75" hidden="1">
      <c r="A20" s="2040"/>
      <c r="B20" s="498"/>
      <c r="C20" s="2045"/>
      <c r="D20" s="441" t="s">
        <v>320</v>
      </c>
      <c r="E20" s="435" t="s">
        <v>321</v>
      </c>
      <c r="F20" s="875" t="s">
        <v>24</v>
      </c>
      <c r="G20" s="470"/>
      <c r="H20" s="471"/>
      <c r="I20" s="846"/>
    </row>
    <row customHeight="1" ht="22.5" hidden="1">
      <c r="A21" s="2040"/>
      <c r="B21" s="498"/>
      <c r="C21" s="2045"/>
      <c r="D21" s="441" t="s">
        <v>322</v>
      </c>
      <c r="E21" s="435" t="s">
        <v>323</v>
      </c>
      <c r="F21" s="1757" t="s">
        <v>24</v>
      </c>
      <c r="G21" s="440" t="s">
        <v>324</v>
      </c>
      <c r="H21" s="471"/>
      <c r="I21" s="846"/>
    </row>
    <row customHeight="1" ht="22.5" hidden="1">
      <c r="A22" s="2040"/>
      <c r="B22" s="498"/>
      <c r="C22" s="2045"/>
      <c r="D22" s="441" t="s">
        <v>325</v>
      </c>
      <c r="E22" s="435" t="s">
        <v>326</v>
      </c>
      <c r="F22" s="875" t="s">
        <v>24</v>
      </c>
      <c r="G22" s="470"/>
      <c r="H22" s="471"/>
      <c r="I22" s="846"/>
    </row>
    <row customHeight="1" ht="22.5" hidden="1">
      <c r="A23" s="2040"/>
      <c r="B23" s="498"/>
      <c r="C23" s="2045"/>
      <c r="D23" s="441" t="s">
        <v>327</v>
      </c>
      <c r="E23" s="435" t="s">
        <v>328</v>
      </c>
      <c r="F23" s="875" t="s">
        <v>24</v>
      </c>
      <c r="G23" s="440" t="s">
        <v>329</v>
      </c>
      <c r="H23" s="471"/>
      <c r="I23" s="846"/>
    </row>
    <row s="497" customFormat="1" customHeight="1" ht="24.75" hidden="1">
      <c r="A24" s="453"/>
      <c r="B24" s="498"/>
      <c r="C24" s="498"/>
      <c r="D24" s="1001" t="s">
        <v>89</v>
      </c>
      <c r="E24" s="1003" t="s">
        <v>330</v>
      </c>
      <c r="F24" s="1008" t="s">
        <v>311</v>
      </c>
      <c r="G24" s="1003"/>
    </row>
    <row s="497" customFormat="1" customHeight="1" ht="11.25" hidden="1">
      <c r="A25" s="453"/>
      <c r="B25" s="498"/>
      <c r="C25" s="498"/>
      <c r="D25" s="1001" t="s">
        <v>331</v>
      </c>
      <c r="E25" s="1002" t="s">
        <v>332</v>
      </c>
      <c r="F25" s="1008" t="s">
        <v>311</v>
      </c>
      <c r="G25" s="1003"/>
    </row>
    <row s="497" customFormat="1" customHeight="1" ht="11.25" hidden="1">
      <c r="A26" s="453"/>
      <c r="B26" s="498"/>
      <c r="C26" s="498"/>
      <c r="D26" s="1001" t="s">
        <v>333</v>
      </c>
      <c r="E26" s="1009" t="s">
        <v>334</v>
      </c>
      <c r="F26" s="1010"/>
      <c r="G26" s="1003"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497" customFormat="1" customHeight="1" ht="11.25" hidden="1">
      <c r="A27" s="453"/>
      <c r="B27" s="498"/>
      <c r="C27" s="498"/>
      <c r="D27" s="1001" t="s">
        <v>335</v>
      </c>
      <c r="E27" s="1009" t="s">
        <v>336</v>
      </c>
      <c r="F27" s="1010"/>
      <c r="G27" s="1003"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497" customFormat="1" customHeight="1" ht="11.25" hidden="1">
      <c r="A28" s="453"/>
      <c r="B28" s="498"/>
      <c r="C28" s="498"/>
      <c r="D28" s="1001" t="s">
        <v>337</v>
      </c>
      <c r="E28" s="1009" t="s">
        <v>338</v>
      </c>
      <c r="F28" s="1010"/>
      <c r="G28" s="1003"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497" customFormat="1" customHeight="1" ht="11.25" hidden="1">
      <c r="A29" s="453"/>
      <c r="B29" s="498"/>
      <c r="C29" s="498"/>
      <c r="D29" s="1001" t="s">
        <v>339</v>
      </c>
      <c r="E29" s="1002" t="s">
        <v>340</v>
      </c>
      <c r="F29" s="1010"/>
      <c r="G29" s="1003"/>
    </row>
    <row s="497" customFormat="1" customHeight="1" ht="11.25" hidden="1">
      <c r="A30" s="453"/>
      <c r="B30" s="498"/>
      <c r="C30" s="498"/>
      <c r="D30" s="1001" t="s">
        <v>341</v>
      </c>
      <c r="E30" s="1002" t="s">
        <v>342</v>
      </c>
      <c r="F30" s="1010"/>
      <c r="G30" s="1003"/>
    </row>
    <row s="497" customFormat="1" customHeight="1" ht="11.25" hidden="1">
      <c r="A31" s="453"/>
      <c r="B31" s="498"/>
      <c r="C31" s="498"/>
      <c r="D31" s="1001" t="s">
        <v>343</v>
      </c>
      <c r="E31" s="1002" t="s">
        <v>344</v>
      </c>
      <c r="F31" s="1011"/>
      <c r="G31" s="1003"/>
    </row>
    <row customHeight="1" ht="22.5">
      <c r="A32" s="453" t="str">
        <f>IF(TEMPLATE_SPHERE="HEAT","6","5")</f>
        <v>6</v>
      </c>
      <c r="B32" s="498"/>
      <c r="C32" s="453"/>
      <c r="D32" s="436" t="str">
        <f>A32</f>
        <v>6</v>
      </c>
      <c r="E32" s="43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39" t="s">
        <v>311</v>
      </c>
      <c r="G32" s="470"/>
      <c r="H32" s="471"/>
    </row>
    <row customHeight="1" ht="22.5">
      <c r="A33" s="453"/>
      <c r="B33" s="498"/>
      <c r="C33" s="453"/>
      <c r="D33" s="436" t="str">
        <f>D32&amp;".1"</f>
        <v>6.1</v>
      </c>
      <c r="E33" s="438" t="str">
        <f>"фамилия"&amp;IF(TEMPLATE_SPHERE&lt;&gt;"HEAT"," руководителя","")</f>
        <v>фамилия</v>
      </c>
      <c r="F33" s="437"/>
      <c r="G33" s="44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71"/>
    </row>
    <row customHeight="1" ht="22.5">
      <c r="A34" s="453"/>
      <c r="B34" s="498"/>
      <c r="C34" s="453"/>
      <c r="D34" s="436" t="str">
        <f>D32&amp;".2"</f>
        <v>6.2</v>
      </c>
      <c r="E34" s="438" t="str">
        <f>"имя"&amp;IF(TEMPLATE_SPHERE&lt;&gt;"HEAT"," руководителя","")</f>
        <v>имя</v>
      </c>
      <c r="F34" s="437"/>
      <c r="G34" s="44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71"/>
    </row>
    <row customHeight="1" ht="22.5">
      <c r="A35" s="453"/>
      <c r="B35" s="498"/>
      <c r="C35" s="453"/>
      <c r="D35" s="436" t="str">
        <f>D32&amp;".3"</f>
        <v>6.3</v>
      </c>
      <c r="E35" s="438" t="str">
        <f>"отчество"&amp;IF(TEMPLATE_SPHERE&lt;&gt;"HEAT"," руководителя","")</f>
        <v>отчество</v>
      </c>
      <c r="F35" s="693"/>
      <c r="G35" s="44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71"/>
    </row>
    <row customHeight="1" ht="33.75">
      <c r="A36" s="453"/>
      <c r="B36" s="498"/>
      <c r="C36" s="453"/>
      <c r="D36" s="436">
        <f>D32+1</f>
        <v>7</v>
      </c>
      <c r="E36" s="43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37"/>
      <c r="G36" s="440" t="s">
        <v>345</v>
      </c>
      <c r="H36" s="471"/>
    </row>
    <row customHeight="1" ht="33.75">
      <c r="A37" s="453"/>
      <c r="B37" s="498"/>
      <c r="C37" s="453"/>
      <c r="D37" s="436">
        <f>D36+1</f>
        <v>8</v>
      </c>
      <c r="E37" s="43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37"/>
      <c r="G37" s="440" t="s">
        <v>345</v>
      </c>
      <c r="H37" s="471"/>
    </row>
    <row customHeight="1" ht="22.5">
      <c r="A38" s="453"/>
      <c r="B38" s="498"/>
      <c r="C38" s="453"/>
      <c r="D38" s="436">
        <f>D37+1</f>
        <v>9</v>
      </c>
      <c r="E38" s="43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39" t="s">
        <v>311</v>
      </c>
      <c r="G38" s="204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71"/>
    </row>
    <row customHeight="1" ht="22.5" hidden="1">
      <c r="A39" s="453"/>
      <c r="B39" s="498"/>
      <c r="C39" s="453"/>
      <c r="D39" s="436" t="str">
        <f>D38&amp;".0"</f>
        <v>9.0</v>
      </c>
      <c r="E39" s="1631"/>
      <c r="F39" s="875"/>
      <c r="G39" s="2047"/>
      <c r="H39" s="471"/>
    </row>
    <row customHeight="1" ht="22.5">
      <c r="A40" s="453"/>
      <c r="B40" s="453"/>
      <c r="C40" s="1713"/>
      <c r="D40" s="436" t="str">
        <f>D38&amp;".1"</f>
        <v>9.1</v>
      </c>
      <c r="E40" s="854"/>
      <c r="F40" s="855"/>
      <c r="G40" s="2047"/>
      <c r="H40" s="471"/>
    </row>
    <row customHeight="1" ht="15">
      <c r="A41" s="453"/>
      <c r="B41" s="498"/>
      <c r="C41" s="453"/>
      <c r="D41" s="463"/>
      <c r="E41" s="412" t="s">
        <v>346</v>
      </c>
      <c r="F41" s="465"/>
      <c r="G41" s="2048"/>
      <c r="H41" s="472"/>
    </row>
    <row customHeight="1" ht="25.5">
      <c r="A42" s="453"/>
      <c r="B42" s="498"/>
      <c r="C42" s="453"/>
      <c r="D42" s="436">
        <f>D38+1</f>
        <v>10</v>
      </c>
      <c r="E42" s="43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56"/>
      <c r="G42" s="44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71"/>
    </row>
    <row customHeight="1" ht="22.5">
      <c r="A43" s="453"/>
      <c r="B43" s="498"/>
      <c r="C43" s="453"/>
      <c r="D43" s="436">
        <f>D42+1</f>
        <v>11</v>
      </c>
      <c r="E43" s="43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72"/>
      <c r="G43" s="470" t="s">
        <v>347</v>
      </c>
      <c r="H43" s="471"/>
    </row>
    <row customHeight="1" ht="22.5">
      <c r="A44" s="453"/>
      <c r="B44" s="498"/>
      <c r="C44" s="453"/>
      <c r="D44" s="436">
        <f>D43+1</f>
        <v>12</v>
      </c>
      <c r="E44" s="434" t="s">
        <v>348</v>
      </c>
      <c r="F44" s="439" t="s">
        <v>311</v>
      </c>
      <c r="G44" s="433" t="str">
        <f>IF(TEMPLATE_SPHERE="TKO","Указывается режим работы организации.","")</f>
        <v/>
      </c>
      <c r="H44" s="471"/>
    </row>
    <row customHeight="1" ht="22.5">
      <c r="A45" s="453"/>
      <c r="B45" s="498"/>
      <c r="C45" s="453"/>
      <c r="D45" s="436" t="str">
        <f>D44&amp;".1"</f>
        <v>12.1</v>
      </c>
      <c r="E45" s="438" t="str">
        <f>"режим работы регулируемой организации"&amp;IF(TEMPLATE_SPHERE="HEAT",", ЕТО, ТО","")</f>
        <v>режим работы регулируемой организации, ЕТО, ТО</v>
      </c>
      <c r="F45" s="1709"/>
      <c r="G45" s="433" t="s">
        <v>349</v>
      </c>
      <c r="H45" s="471"/>
    </row>
    <row customHeight="1" ht="22.5">
      <c r="A46" s="2036"/>
      <c r="B46" s="498"/>
      <c r="C46" s="488"/>
      <c r="D46" s="436" t="str">
        <f>D44&amp;".2"</f>
        <v>12.2</v>
      </c>
      <c r="E46" s="438" t="s">
        <v>350</v>
      </c>
      <c r="F46" s="486"/>
      <c r="G46" s="433" t="s">
        <v>351</v>
      </c>
      <c r="H46" s="471"/>
    </row>
    <row customHeight="1" ht="22.5">
      <c r="A47" s="2036"/>
      <c r="B47" s="498"/>
      <c r="C47" s="488"/>
      <c r="D47" s="436" t="str">
        <f>D44&amp;".3"</f>
        <v>12.3</v>
      </c>
      <c r="E47" s="438" t="s">
        <v>352</v>
      </c>
      <c r="F47" s="486"/>
      <c r="G47" s="433" t="s">
        <v>353</v>
      </c>
      <c r="H47" s="471"/>
    </row>
    <row customHeight="1" ht="22.5">
      <c r="A48" s="2036"/>
      <c r="B48" s="498"/>
      <c r="C48" s="488"/>
      <c r="D48" s="436" t="str">
        <f>IF(TEMPLATE_SPHERE="TKO",D44&amp;".0",D44&amp;".4")</f>
        <v>12.4</v>
      </c>
      <c r="E48" s="432" t="s">
        <v>354</v>
      </c>
      <c r="F48" s="1710"/>
      <c r="G48" s="1786" t="s">
        <v>355</v>
      </c>
      <c r="H48" s="471"/>
    </row>
    <row customHeight="1" ht="22.5">
      <c r="A49" s="453"/>
      <c r="B49" s="498"/>
      <c r="C49" s="453"/>
      <c r="D49" s="463"/>
      <c r="E49" s="412" t="s">
        <v>356</v>
      </c>
      <c r="F49" s="464"/>
      <c r="G49" s="1786" t="s">
        <v>357</v>
      </c>
      <c r="H49" s="472"/>
    </row>
    <row customHeight="1" ht="22.5">
      <c r="A50" s="852"/>
      <c r="B50" s="498"/>
      <c r="C50" s="488"/>
      <c r="D50" s="436">
        <f>D44+1</f>
        <v>13</v>
      </c>
      <c r="E50" s="524" t="s">
        <v>358</v>
      </c>
      <c r="F50" s="486"/>
      <c r="G50" s="1714"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71"/>
    </row>
    <row customHeight="1" ht="11.25">
      <c r="A51" s="453"/>
      <c r="B51" s="498"/>
      <c r="C51" s="453"/>
    </row>
    <row s="456" customFormat="1" customHeight="1" ht="30">
      <c r="A52" s="1712"/>
      <c r="B52" s="499"/>
      <c r="C52" s="2037"/>
      <c r="D52" s="2041"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41"/>
      <c r="F52" s="2041"/>
      <c r="G52" s="2041"/>
      <c r="H52" s="450"/>
      <c r="I52" s="450"/>
    </row>
    <row s="456" customFormat="1" customHeight="1" ht="39.75">
      <c r="A53" s="453"/>
      <c r="B53" s="498"/>
      <c r="C53" s="2037"/>
      <c r="D53" s="2041"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41"/>
      <c r="F53" s="2041"/>
      <c r="G53" s="2041"/>
    </row>
    <row customHeight="1" ht="11.25">
      <c r="D54" s="454"/>
      <c r="E54" s="455"/>
      <c r="F54" s="455"/>
      <c r="G54" s="455"/>
    </row>
    <row customHeight="1" ht="27">
      <c r="D55" s="457"/>
      <c r="E55" s="454"/>
      <c r="F55" s="466"/>
      <c r="G55" s="466"/>
    </row>
    <row customHeight="1" ht="11.25">
      <c r="D56" s="454"/>
      <c r="E56" s="454"/>
      <c r="F56" s="455"/>
      <c r="G56" s="455"/>
    </row>
    <row customHeight="1" ht="39">
      <c r="D57" s="458"/>
      <c r="E57" s="467"/>
      <c r="F57" s="467"/>
      <c r="G57" s="467"/>
    </row>
    <row customHeight="1" ht="27">
      <c r="D58" s="458"/>
      <c r="E58" s="467"/>
      <c r="F58" s="467"/>
      <c r="G58" s="46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0FAB46-5343-C6C9-82E2-456AA551C57A}"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1657" width="9.140625" hidden="1" customWidth="1"/>
    <col min="2" max="2" style="1660" width="9.140625" hidden="1" customWidth="1"/>
    <col min="3" max="3" style="1866" width="3.7109375" customWidth="1"/>
    <col min="4" max="4" style="1660" width="5.57421875" customWidth="1"/>
    <col min="5" max="5" style="1660" width="48.421875" customWidth="1"/>
    <col min="6" max="6" style="1660" width="38.140625" customWidth="1"/>
    <col min="7" max="7" style="1660" width="1.7109375" hidden="1" customWidth="1"/>
    <col min="8" max="11" style="1660" width="19.8515625" customWidth="1"/>
    <col min="12" max="12" style="1660" width="9.7109375" customWidth="1"/>
    <col min="13" max="18" style="1660" width="19.8515625" customWidth="1"/>
    <col min="19" max="19" style="1660" width="1.7109375" hidden="1" customWidth="1"/>
    <col min="20" max="22" style="1660" width="19.8515625" hidden="1" customWidth="1"/>
    <col min="23" max="23" style="1660" width="1.7109375" hidden="1" customWidth="1"/>
    <col min="24" max="26" style="1660" width="19.8515625" hidden="1" customWidth="1"/>
    <col min="27" max="27" style="1660" width="1.7109375" hidden="1" customWidth="1"/>
    <col min="28" max="29" style="1660" width="19.8515625" hidden="1" customWidth="1"/>
    <col min="30" max="30" style="1660" width="1.7109375" hidden="1" customWidth="1"/>
    <col min="31" max="31" style="1660" width="103.7109375" customWidth="1"/>
    <col min="32" max="34" style="1660" width="103.7109375" hidden="1" customWidth="1"/>
    <col min="35" max="35" style="1844" width="3.7109375" customWidth="1"/>
    <col min="36" max="38" style="1667" width="10.57421875"/>
    <col min="39" max="39" style="1667" width="13.7109375" hidden="1" customWidth="1"/>
    <col min="40" max="40" style="1667" width="15.421875" customWidth="1"/>
    <col min="41" max="41" style="1667" width="16.28125" customWidth="1"/>
    <col min="42" max="45" style="1667" width="10.57421875"/>
  </cols>
  <sheetData>
    <row customHeight="1" ht="14.25" hidden="1">
      <c r="E1" s="409"/>
      <c r="F1" s="409"/>
      <c r="G1" s="409"/>
      <c r="H1" s="2064" t="s">
        <v>359</v>
      </c>
      <c r="I1" s="2064"/>
      <c r="J1" s="2064"/>
      <c r="K1" s="2064"/>
      <c r="L1" s="2064"/>
      <c r="M1" s="2064"/>
      <c r="N1" s="2064"/>
      <c r="O1" s="2064"/>
      <c r="P1" s="2064"/>
      <c r="Q1" s="2064"/>
      <c r="R1" s="2064"/>
      <c r="T1" s="2064" t="s">
        <v>360</v>
      </c>
      <c r="U1" s="2064"/>
      <c r="V1" s="2064"/>
      <c r="X1" s="2064" t="s">
        <v>361</v>
      </c>
      <c r="Y1" s="2064"/>
      <c r="Z1" s="2064"/>
      <c r="AB1" s="2064" t="s">
        <v>362</v>
      </c>
      <c r="AC1" s="2064"/>
    </row>
    <row customHeight="1" ht="14.25" hidden="1"/>
    <row s="1638" customFormat="1" customHeight="1" ht="6">
      <c r="C3" s="696"/>
      <c r="D3" s="697"/>
      <c r="E3" s="697"/>
      <c r="F3" s="697"/>
      <c r="G3" s="697"/>
      <c r="H3" s="697" t="s">
        <v>363</v>
      </c>
      <c r="I3" s="697"/>
      <c r="J3" s="697"/>
      <c r="K3" s="697"/>
      <c r="L3" s="697"/>
      <c r="M3" s="697"/>
      <c r="N3" s="697"/>
      <c r="O3" s="697"/>
      <c r="P3" s="697"/>
      <c r="Q3" s="697"/>
      <c r="R3" s="697"/>
      <c r="S3" s="697"/>
      <c r="T3" s="697"/>
      <c r="U3" s="697"/>
      <c r="V3" s="697"/>
      <c r="W3" s="697"/>
      <c r="X3" s="697"/>
      <c r="Y3" s="697"/>
      <c r="Z3" s="697"/>
      <c r="AA3" s="697"/>
      <c r="AB3" s="697"/>
      <c r="AC3" s="697"/>
      <c r="AD3" s="697"/>
      <c r="AE3" s="697"/>
      <c r="AF3" s="697"/>
      <c r="AG3" s="697"/>
      <c r="AH3" s="697"/>
      <c r="AJ3" s="507"/>
      <c r="AK3" s="507"/>
      <c r="AL3" s="507"/>
      <c r="AM3" s="507"/>
      <c r="AN3" s="507"/>
      <c r="AO3" s="507"/>
      <c r="AP3" s="507"/>
      <c r="AQ3" s="507"/>
      <c r="AR3" s="507"/>
      <c r="AS3" s="507"/>
    </row>
    <row customHeight="1" ht="37.5">
      <c r="C4" s="446"/>
      <c r="D4" s="2001"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002"/>
      <c r="F4" s="2002"/>
      <c r="G4" s="2002"/>
      <c r="H4" s="2002"/>
      <c r="I4" s="2002"/>
      <c r="J4" s="2002"/>
      <c r="K4" s="2002"/>
      <c r="L4" s="2002"/>
      <c r="M4" s="2002"/>
      <c r="N4" s="2002"/>
      <c r="O4" s="2002"/>
      <c r="P4" s="2002"/>
      <c r="Q4" s="2002"/>
      <c r="R4" s="2003"/>
      <c r="S4" s="847"/>
      <c r="T4" s="694"/>
      <c r="U4" s="694"/>
      <c r="V4" s="694"/>
      <c r="W4" s="694"/>
      <c r="X4" s="694"/>
      <c r="Y4" s="694"/>
      <c r="Z4" s="694"/>
      <c r="AA4" s="694"/>
      <c r="AB4" s="694"/>
      <c r="AC4" s="694"/>
      <c r="AD4" s="694"/>
      <c r="AE4" s="487"/>
      <c r="AF4" s="487"/>
      <c r="AG4" s="487"/>
      <c r="AH4" s="487"/>
      <c r="AI4" s="484"/>
    </row>
    <row s="1660" customFormat="1" customHeight="1" ht="17.25">
      <c r="A5" s="754"/>
      <c r="C5" s="816"/>
      <c r="D5" s="2061" t="str">
        <f>IF(org=0,"Не определено",org)</f>
        <v>ООО "ПРОМ ИМПУЛЬС"</v>
      </c>
      <c r="E5" s="2062"/>
      <c r="F5" s="2062"/>
      <c r="G5" s="2062"/>
      <c r="H5" s="2062"/>
      <c r="I5" s="2062"/>
      <c r="J5" s="2062"/>
      <c r="K5" s="2062"/>
      <c r="L5" s="2062"/>
      <c r="M5" s="2062"/>
      <c r="N5" s="2062"/>
      <c r="O5" s="2062"/>
      <c r="P5" s="2062"/>
      <c r="Q5" s="2062"/>
      <c r="R5" s="2063"/>
      <c r="S5" s="847"/>
      <c r="T5" s="694"/>
      <c r="U5" s="694"/>
      <c r="V5" s="694"/>
      <c r="W5" s="694"/>
      <c r="X5" s="694"/>
      <c r="Y5" s="694"/>
      <c r="Z5" s="694"/>
      <c r="AA5" s="694"/>
      <c r="AB5" s="694"/>
      <c r="AC5" s="694"/>
      <c r="AD5" s="694"/>
      <c r="AE5" s="487"/>
      <c r="AF5" s="487"/>
      <c r="AG5" s="487"/>
      <c r="AH5" s="487"/>
      <c r="AI5" s="484"/>
      <c r="AJ5" s="507"/>
      <c r="AK5" s="507"/>
      <c r="AL5" s="507"/>
      <c r="AM5" s="507"/>
      <c r="AN5" s="507"/>
      <c r="AO5" s="507"/>
      <c r="AP5" s="507"/>
      <c r="AQ5" s="507"/>
      <c r="AR5" s="507"/>
      <c r="AS5" s="507"/>
    </row>
    <row s="1637" customFormat="1" customHeight="1" ht="11.25">
      <c r="A6" s="475"/>
      <c r="C6" s="482"/>
      <c r="D6" s="481"/>
      <c r="E6" s="481"/>
      <c r="F6" s="481"/>
      <c r="G6" s="481"/>
      <c r="H6" s="481"/>
      <c r="I6" s="481"/>
      <c r="J6" s="481"/>
      <c r="K6" s="481"/>
      <c r="L6" s="481"/>
      <c r="M6" s="481"/>
      <c r="N6" s="481"/>
      <c r="O6" s="481"/>
      <c r="P6" s="481"/>
      <c r="Q6" s="481"/>
      <c r="R6" s="747"/>
      <c r="S6" s="747"/>
      <c r="T6" s="481"/>
      <c r="U6" s="481"/>
      <c r="V6" s="707"/>
      <c r="W6" s="707"/>
      <c r="X6" s="481"/>
      <c r="Y6" s="481"/>
      <c r="Z6" s="707"/>
      <c r="AA6" s="707"/>
      <c r="AB6" s="481"/>
      <c r="AC6" s="707"/>
      <c r="AD6" s="707"/>
      <c r="AE6" s="481"/>
      <c r="AF6" s="481"/>
      <c r="AG6" s="481"/>
      <c r="AH6" s="481"/>
      <c r="AJ6" s="485"/>
      <c r="AK6" s="485"/>
      <c r="AL6" s="485"/>
      <c r="AM6" s="485"/>
      <c r="AN6" s="485"/>
      <c r="AO6" s="485"/>
      <c r="AP6" s="485"/>
      <c r="AQ6" s="485"/>
      <c r="AR6" s="485"/>
      <c r="AS6" s="485"/>
    </row>
    <row customHeight="1" ht="14.25">
      <c r="C7" s="446"/>
      <c r="D7" s="2050" t="s">
        <v>305</v>
      </c>
      <c r="E7" s="2065"/>
      <c r="F7" s="2065"/>
      <c r="G7" s="2065"/>
      <c r="H7" s="2065"/>
      <c r="I7" s="2065"/>
      <c r="J7" s="2065"/>
      <c r="K7" s="2065"/>
      <c r="L7" s="2065"/>
      <c r="M7" s="2065"/>
      <c r="N7" s="2065"/>
      <c r="O7" s="2065"/>
      <c r="P7" s="2065"/>
      <c r="Q7" s="2065"/>
      <c r="R7" s="2065"/>
      <c r="S7" s="2065"/>
      <c r="T7" s="2065"/>
      <c r="U7" s="2065"/>
      <c r="V7" s="2065"/>
      <c r="W7" s="2065"/>
      <c r="X7" s="2065"/>
      <c r="Y7" s="2065"/>
      <c r="Z7" s="2065"/>
      <c r="AA7" s="2065"/>
      <c r="AB7" s="2065"/>
      <c r="AC7" s="2065"/>
      <c r="AD7" s="2066"/>
      <c r="AE7" s="2049" t="s">
        <v>306</v>
      </c>
      <c r="AF7" s="2049" t="s">
        <v>306</v>
      </c>
      <c r="AG7" s="2049" t="s">
        <v>306</v>
      </c>
      <c r="AH7" s="2049" t="s">
        <v>306</v>
      </c>
    </row>
    <row customHeight="1" ht="25.5">
      <c r="C8" s="446"/>
      <c r="D8" s="1953" t="s">
        <v>87</v>
      </c>
      <c r="E8" s="2049" t="str">
        <f>"Наименование "&amp;IF(TEMPLATE_SPHERE&lt;&gt;"HEAT","централизованной ","")&amp;"системы "&amp;TEMPLATE_SPHERE_RUS</f>
        <v>Наименование системы теплоснабжения</v>
      </c>
      <c r="F8" s="2049" t="str">
        <f>IF(TEMPLATE_SPHERE&lt;&gt;"HEAT","Регулируемый вид деятельности","Вид регулируемой деятельности")</f>
        <v>Вид регулируемой деятельности</v>
      </c>
      <c r="G8" s="822"/>
      <c r="H8" s="2055" t="s">
        <v>364</v>
      </c>
      <c r="I8" s="2057" t="s">
        <v>365</v>
      </c>
      <c r="J8" s="2049" t="s">
        <v>366</v>
      </c>
      <c r="K8" s="2049"/>
      <c r="L8" s="2049"/>
      <c r="M8" s="2050"/>
      <c r="N8" s="2049" t="s">
        <v>367</v>
      </c>
      <c r="O8" s="2049"/>
      <c r="P8" s="2049" t="s">
        <v>368</v>
      </c>
      <c r="Q8" s="2049"/>
      <c r="R8" s="2053" t="s">
        <v>369</v>
      </c>
      <c r="S8" s="818"/>
      <c r="T8" s="2051" t="s">
        <v>370</v>
      </c>
      <c r="U8" s="2051" t="s">
        <v>371</v>
      </c>
      <c r="V8" s="2051" t="s">
        <v>372</v>
      </c>
      <c r="W8" s="820"/>
      <c r="X8" s="2051" t="s">
        <v>373</v>
      </c>
      <c r="Y8" s="2051" t="s">
        <v>374</v>
      </c>
      <c r="Z8" s="2051" t="s">
        <v>375</v>
      </c>
      <c r="AA8" s="820"/>
      <c r="AB8" s="2051" t="s">
        <v>376</v>
      </c>
      <c r="AC8" s="2051" t="s">
        <v>369</v>
      </c>
      <c r="AD8" s="820"/>
      <c r="AE8" s="2049"/>
      <c r="AF8" s="2049"/>
      <c r="AG8" s="2049"/>
      <c r="AH8" s="2049"/>
    </row>
    <row customHeight="1" ht="43.5">
      <c r="C9" s="446"/>
      <c r="D9" s="1953"/>
      <c r="E9" s="2049"/>
      <c r="F9" s="2049"/>
      <c r="G9" s="823"/>
      <c r="H9" s="2056"/>
      <c r="I9" s="2058"/>
      <c r="J9" s="421" t="s">
        <v>377</v>
      </c>
      <c r="K9" s="421" t="s">
        <v>378</v>
      </c>
      <c r="L9" s="421" t="s">
        <v>379</v>
      </c>
      <c r="M9" s="427" t="s">
        <v>380</v>
      </c>
      <c r="N9" s="421" t="s">
        <v>381</v>
      </c>
      <c r="O9" s="421" t="s">
        <v>380</v>
      </c>
      <c r="P9" s="421" t="s">
        <v>382</v>
      </c>
      <c r="Q9" s="421" t="s">
        <v>380</v>
      </c>
      <c r="R9" s="2054"/>
      <c r="S9" s="819"/>
      <c r="T9" s="2052"/>
      <c r="U9" s="2052"/>
      <c r="V9" s="2052"/>
      <c r="W9" s="821"/>
      <c r="X9" s="2052"/>
      <c r="Y9" s="2052"/>
      <c r="Z9" s="2052"/>
      <c r="AA9" s="821"/>
      <c r="AB9" s="2052"/>
      <c r="AC9" s="2052"/>
      <c r="AD9" s="821"/>
      <c r="AE9" s="2049"/>
      <c r="AF9" s="2049"/>
      <c r="AG9" s="2049"/>
      <c r="AH9" s="2049"/>
    </row>
    <row customHeight="1" ht="12" hidden="1">
      <c r="C10" s="483"/>
      <c r="D10" s="444"/>
      <c r="E10" s="444"/>
      <c r="F10" s="444"/>
      <c r="G10" s="444"/>
      <c r="H10" s="444"/>
      <c r="I10" s="444"/>
      <c r="J10" s="444"/>
      <c r="K10" s="444"/>
      <c r="L10" s="444"/>
      <c r="M10" s="444"/>
      <c r="N10" s="444"/>
      <c r="O10" s="444"/>
      <c r="P10" s="444"/>
      <c r="Q10" s="444"/>
      <c r="R10" s="444"/>
      <c r="S10" s="444"/>
      <c r="T10" s="444"/>
      <c r="U10" s="444"/>
      <c r="V10" s="444"/>
      <c r="W10" s="444"/>
      <c r="X10" s="444"/>
      <c r="Y10" s="444"/>
      <c r="Z10" s="444"/>
      <c r="AA10" s="444"/>
      <c r="AB10" s="444"/>
      <c r="AC10" s="444"/>
      <c r="AD10" s="444"/>
      <c r="AE10" s="444"/>
      <c r="AF10" s="444"/>
      <c r="AG10" s="444"/>
      <c r="AH10" s="444"/>
      <c r="AI10" s="443"/>
      <c r="AP10" s="496"/>
      <c r="AQ10" s="496"/>
    </row>
    <row s="1666" customFormat="1" customHeight="1" ht="11.25" hidden="1">
      <c r="C11" s="494"/>
      <c r="D11" s="495" t="s">
        <v>383</v>
      </c>
      <c r="E11" s="495"/>
      <c r="F11" s="495"/>
      <c r="G11" s="495"/>
      <c r="H11" s="493"/>
      <c r="I11" s="493"/>
      <c r="J11" s="493"/>
      <c r="K11" s="493"/>
      <c r="L11" s="493"/>
      <c r="M11" s="493"/>
      <c r="N11" s="493"/>
      <c r="O11" s="493"/>
      <c r="P11" s="493"/>
      <c r="Q11" s="493"/>
      <c r="R11" s="493"/>
      <c r="S11" s="493"/>
      <c r="T11" s="493"/>
      <c r="U11" s="493"/>
      <c r="V11" s="493"/>
      <c r="W11" s="493"/>
      <c r="X11" s="493"/>
      <c r="Y11" s="493"/>
      <c r="Z11" s="493"/>
      <c r="AA11" s="493"/>
      <c r="AB11" s="493"/>
      <c r="AC11" s="493"/>
      <c r="AD11" s="493"/>
      <c r="AE11" s="431"/>
      <c r="AF11" s="431"/>
      <c r="AG11" s="431"/>
      <c r="AH11" s="431"/>
      <c r="AJ11" s="485"/>
      <c r="AK11" s="485"/>
      <c r="AL11" s="485"/>
      <c r="AM11" s="485"/>
      <c r="AN11" s="485"/>
      <c r="AO11" s="485"/>
      <c r="AP11" s="485"/>
      <c r="AQ11" s="485"/>
      <c r="AR11" s="485"/>
      <c r="AS11" s="485"/>
    </row>
    <row customHeight="1" ht="14.25">
      <c r="A12" s="443"/>
      <c r="C12" s="446"/>
      <c r="D12" s="430" t="s">
        <v>108</v>
      </c>
      <c r="E12" s="1802" t="s">
        <v>24</v>
      </c>
      <c r="F12" s="849"/>
      <c r="G12" s="850"/>
      <c r="H12" s="1803"/>
      <c r="I12" s="1803"/>
      <c r="J12" s="429"/>
      <c r="K12" s="1888"/>
      <c r="L12" s="428"/>
      <c r="M12" s="1888"/>
      <c r="N12" s="429"/>
      <c r="O12" s="1888"/>
      <c r="P12" s="429"/>
      <c r="Q12" s="1888"/>
      <c r="R12" s="429"/>
      <c r="S12" s="848"/>
      <c r="T12" s="1803"/>
      <c r="U12" s="429"/>
      <c r="V12" s="429"/>
      <c r="W12" s="821"/>
      <c r="X12" s="1803"/>
      <c r="Y12" s="429"/>
      <c r="Z12" s="429"/>
      <c r="AA12" s="821"/>
      <c r="AB12" s="1803"/>
      <c r="AC12" s="429"/>
      <c r="AD12" s="821"/>
      <c r="AE12" s="2059" t="s">
        <v>384</v>
      </c>
      <c r="AF12" s="2059" t="s">
        <v>385</v>
      </c>
      <c r="AG12" s="2059" t="s">
        <v>386</v>
      </c>
      <c r="AH12" s="2059" t="s">
        <v>387</v>
      </c>
      <c r="AI12" s="443"/>
      <c r="AM12" s="507"/>
      <c r="AP12" s="496" t="s">
        <v>388</v>
      </c>
      <c r="AQ12" s="496" t="s">
        <v>388</v>
      </c>
    </row>
    <row customHeight="1" ht="17.25">
      <c r="A13" s="443"/>
      <c r="C13" s="446"/>
      <c r="D13" s="402"/>
      <c r="E13" s="863" t="str">
        <f>IF(TITLE_DIFFERENTIATION_TYPE="нет","","Добавить систему")</f>
        <v/>
      </c>
      <c r="F13" s="863" t="str">
        <f>IF(TITLE_DIFFERENTIATION_TYPE="нет","Добавить вид деятельности","")</f>
        <v>Добавить вид деятельности</v>
      </c>
      <c r="G13" s="295"/>
      <c r="H13" s="403"/>
      <c r="I13" s="403"/>
      <c r="J13" s="403"/>
      <c r="K13" s="403"/>
      <c r="L13" s="403"/>
      <c r="M13" s="403"/>
      <c r="N13" s="403"/>
      <c r="O13" s="403"/>
      <c r="P13" s="403"/>
      <c r="Q13" s="403"/>
      <c r="R13" s="403"/>
      <c r="S13" s="403"/>
      <c r="T13" s="403"/>
      <c r="U13" s="403"/>
      <c r="V13" s="403"/>
      <c r="W13" s="403"/>
      <c r="X13" s="403"/>
      <c r="Y13" s="403"/>
      <c r="Z13" s="403"/>
      <c r="AA13" s="403"/>
      <c r="AB13" s="403"/>
      <c r="AC13" s="403"/>
      <c r="AD13" s="851"/>
      <c r="AE13" s="2060"/>
      <c r="AF13" s="2060"/>
      <c r="AG13" s="2060"/>
      <c r="AH13" s="2060"/>
      <c r="AI13" s="443"/>
    </row>
    <row customHeight="1" ht="14.25">
      <c r="AI14" s="443"/>
    </row>
    <row customHeight="1" ht="14.25">
      <c r="E15" s="753"/>
      <c r="L15" s="753"/>
    </row>
    <row customHeight="1" ht="14.25">
      <c r="L16" s="753"/>
    </row>
    <row customHeight="1" ht="14.25">
      <c r="L17" s="753"/>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FFB972-3E19-6E16-AF31-F14129C9476D}"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1657" width="9.140625" hidden="1" customWidth="1"/>
    <col min="2" max="2" style="1660" width="9.140625" hidden="1" customWidth="1"/>
    <col min="3" max="3" style="1866" width="3.7109375" customWidth="1"/>
    <col min="4" max="4" style="1660" width="5.57421875" customWidth="1"/>
    <col min="5" max="5" style="1660" width="38.140625" customWidth="1"/>
    <col min="6" max="7" style="1660" width="3.7109375" customWidth="1"/>
    <col min="8" max="8" style="1660" width="38.28125" customWidth="1"/>
    <col min="9" max="9" style="1660" width="35.7109375" customWidth="1"/>
    <col min="10" max="10" style="1660" width="103.7109375" customWidth="1"/>
    <col min="11" max="11" style="1844" width="3.7109375" customWidth="1"/>
    <col min="12" max="14" style="1667" width="10.57421875"/>
    <col min="15" max="15" style="1667" width="13.7109375" customWidth="1"/>
    <col min="16" max="16" style="1667" width="15.421875" customWidth="1"/>
    <col min="17" max="17" style="1667" width="16.28125" customWidth="1"/>
    <col min="18" max="21" style="1667" width="10.57421875"/>
  </cols>
  <sheetData>
    <row customHeight="1" ht="14.25" hidden="1">
      <c r="E1" s="409"/>
      <c r="F1" s="409"/>
      <c r="G1" s="409"/>
      <c r="H1" s="2064" t="s">
        <v>359</v>
      </c>
      <c r="I1" s="2064"/>
    </row>
    <row s="1660" customFormat="1" customHeight="1" ht="14.25" hidden="1">
      <c r="C2" s="1644"/>
      <c r="D2" s="2068" t="s">
        <v>108</v>
      </c>
      <c r="E2" s="2070"/>
      <c r="F2" s="1650"/>
      <c r="G2" s="1645" t="s">
        <v>108</v>
      </c>
      <c r="H2" s="1648"/>
      <c r="I2" s="1646"/>
      <c r="L2" s="1647"/>
      <c r="M2" s="1647"/>
      <c r="N2" s="1647"/>
      <c r="O2" s="1647" t="s">
        <v>389</v>
      </c>
      <c r="P2" s="1647"/>
      <c r="Q2" s="1647"/>
      <c r="R2" s="1649" t="s">
        <v>388</v>
      </c>
      <c r="S2" s="1649" t="s">
        <v>388</v>
      </c>
      <c r="T2" s="1647"/>
      <c r="U2" s="1647"/>
    </row>
    <row s="1660" customFormat="1" customHeight="1" ht="14.25" hidden="1">
      <c r="C3" s="1644"/>
      <c r="D3" s="2069"/>
      <c r="E3" s="2071"/>
      <c r="F3" s="402"/>
      <c r="G3" s="863"/>
      <c r="H3" s="863" t="s">
        <v>390</v>
      </c>
      <c r="I3" s="295"/>
      <c r="L3" s="1647"/>
      <c r="M3" s="1647"/>
      <c r="N3" s="1647"/>
      <c r="O3" s="1647"/>
      <c r="P3" s="1647"/>
      <c r="Q3" s="1647"/>
      <c r="R3" s="1649"/>
      <c r="S3" s="1649"/>
      <c r="T3" s="1647"/>
      <c r="U3" s="1647"/>
    </row>
    <row customHeight="1" ht="14.25" hidden="1"/>
    <row s="1638" customFormat="1" customHeight="1" ht="6">
      <c r="C5" s="696"/>
      <c r="D5" s="697"/>
      <c r="E5" s="697"/>
      <c r="F5" s="697"/>
      <c r="G5" s="697"/>
      <c r="H5" s="697" t="s">
        <v>363</v>
      </c>
      <c r="I5" s="697"/>
      <c r="J5" s="697"/>
      <c r="L5" s="1639"/>
      <c r="M5" s="1639"/>
      <c r="N5" s="1639"/>
      <c r="O5" s="1639"/>
      <c r="P5" s="1639"/>
      <c r="Q5" s="1639"/>
      <c r="R5" s="1639"/>
      <c r="S5" s="1639"/>
      <c r="T5" s="1639"/>
      <c r="U5" s="1639"/>
    </row>
    <row customHeight="1" ht="27.75">
      <c r="C6" s="1533"/>
      <c r="D6" s="2067" t="s">
        <v>391</v>
      </c>
      <c r="E6" s="2067"/>
      <c r="F6" s="2067"/>
      <c r="G6" s="2067"/>
      <c r="H6" s="2067"/>
      <c r="I6" s="2067"/>
      <c r="J6" s="487"/>
      <c r="K6" s="1640"/>
    </row>
    <row customHeight="1" ht="17.25">
      <c r="C7" s="1533"/>
      <c r="D7" s="2035" t="str">
        <f>IF(org=0,"Не определено",org)</f>
        <v>ООО "ПРОМ ИМПУЛЬС"</v>
      </c>
      <c r="E7" s="2035"/>
      <c r="F7" s="2035"/>
      <c r="G7" s="2035"/>
      <c r="H7" s="2035"/>
      <c r="I7" s="2035"/>
      <c r="J7" s="487"/>
      <c r="K7" s="1640"/>
    </row>
    <row s="1637" customFormat="1" customHeight="1" ht="6">
      <c r="A8" s="1636"/>
      <c r="C8" s="482"/>
      <c r="D8" s="481"/>
      <c r="E8" s="481"/>
      <c r="F8" s="481"/>
      <c r="G8" s="481"/>
      <c r="H8" s="481"/>
      <c r="I8" s="481"/>
      <c r="J8" s="481"/>
      <c r="L8" s="1639"/>
      <c r="M8" s="1639"/>
      <c r="N8" s="1639"/>
      <c r="O8" s="1639"/>
      <c r="P8" s="1639"/>
      <c r="Q8" s="1639"/>
      <c r="R8" s="1639"/>
      <c r="S8" s="1639"/>
      <c r="T8" s="1639"/>
      <c r="U8" s="1639"/>
    </row>
    <row s="1637" customFormat="1" customHeight="1" ht="6">
      <c r="A9" s="1636"/>
      <c r="C9" s="482"/>
      <c r="D9" s="481"/>
      <c r="E9" s="481"/>
      <c r="F9" s="481"/>
      <c r="G9" s="481"/>
      <c r="H9" s="481"/>
      <c r="I9" s="481"/>
      <c r="J9" s="481"/>
      <c r="L9" s="1647"/>
      <c r="M9" s="1647"/>
      <c r="N9" s="1647"/>
      <c r="O9" s="1647"/>
      <c r="P9" s="1647"/>
      <c r="Q9" s="1647"/>
      <c r="R9" s="1647"/>
      <c r="S9" s="1647"/>
      <c r="T9" s="1647"/>
      <c r="U9" s="1647"/>
    </row>
    <row customHeight="1" ht="14.25">
      <c r="C10" s="1533"/>
      <c r="D10" s="2050" t="s">
        <v>305</v>
      </c>
      <c r="E10" s="2065"/>
      <c r="F10" s="2065"/>
      <c r="G10" s="2065"/>
      <c r="H10" s="2065"/>
      <c r="I10" s="2065"/>
      <c r="J10" s="2049" t="s">
        <v>306</v>
      </c>
    </row>
    <row customHeight="1" ht="25.5">
      <c r="C11" s="1533"/>
      <c r="D11" s="1953" t="s">
        <v>87</v>
      </c>
      <c r="E11" s="2049" t="str">
        <f>IF(TEMPLATE_SPHERE&lt;&gt;"HEAT","Регулируемый вид деятельности","Вид регулируемой деятельности")</f>
        <v>Вид регулируемой деятельности</v>
      </c>
      <c r="F11" s="2011" t="s">
        <v>87</v>
      </c>
      <c r="G11" s="2012"/>
      <c r="H11" s="2010" t="s">
        <v>392</v>
      </c>
      <c r="I11" s="2010" t="s">
        <v>393</v>
      </c>
      <c r="J11" s="2049"/>
    </row>
    <row customHeight="1" ht="14.25">
      <c r="C12" s="1533"/>
      <c r="D12" s="1953"/>
      <c r="E12" s="2049"/>
      <c r="F12" s="2019"/>
      <c r="G12" s="2020"/>
      <c r="H12" s="2072"/>
      <c r="I12" s="2072"/>
      <c r="J12" s="2049"/>
    </row>
    <row s="1666" customFormat="1" customHeight="1" ht="11.25" hidden="1">
      <c r="C13" s="494"/>
      <c r="D13" s="495" t="s">
        <v>383</v>
      </c>
      <c r="E13" s="495"/>
      <c r="F13" s="495"/>
      <c r="G13" s="495"/>
      <c r="H13" s="493"/>
      <c r="I13" s="493"/>
      <c r="J13" s="431"/>
      <c r="L13" s="1639"/>
      <c r="M13" s="1639"/>
      <c r="N13" s="1639"/>
      <c r="O13" s="1639"/>
      <c r="P13" s="1639"/>
      <c r="Q13" s="1639"/>
      <c r="R13" s="1639"/>
      <c r="S13" s="1639"/>
      <c r="T13" s="1639"/>
      <c r="U13" s="1639"/>
    </row>
    <row customHeight="1" ht="14.25">
      <c r="A14" s="1632"/>
      <c r="C14" s="1533"/>
      <c r="D14" s="2068" t="s">
        <v>108</v>
      </c>
      <c r="E14" s="2070"/>
      <c r="F14" s="1642"/>
      <c r="G14" s="1641" t="s">
        <v>108</v>
      </c>
      <c r="H14" s="1648"/>
      <c r="I14" s="1646"/>
      <c r="J14" s="1997" t="s">
        <v>394</v>
      </c>
      <c r="K14" s="1632"/>
      <c r="R14" s="496" t="s">
        <v>388</v>
      </c>
      <c r="S14" s="496" t="s">
        <v>388</v>
      </c>
    </row>
    <row customHeight="1" ht="14.25">
      <c r="A15" s="1632"/>
      <c r="C15" s="1533"/>
      <c r="D15" s="2069"/>
      <c r="E15" s="2071"/>
      <c r="F15" s="402"/>
      <c r="G15" s="863"/>
      <c r="H15" s="863" t="s">
        <v>390</v>
      </c>
      <c r="I15" s="295"/>
      <c r="J15" s="1998"/>
      <c r="K15" s="1632"/>
      <c r="R15" s="496"/>
      <c r="S15" s="496"/>
    </row>
    <row customHeight="1" ht="14.25">
      <c r="A16" s="1632"/>
      <c r="C16" s="1533"/>
      <c r="D16" s="402"/>
      <c r="E16" s="863" t="s">
        <v>120</v>
      </c>
      <c r="F16" s="295"/>
      <c r="G16" s="295"/>
      <c r="H16" s="403"/>
      <c r="I16" s="403"/>
      <c r="J16" s="1999"/>
      <c r="K16" s="1632"/>
    </row>
    <row customHeight="1" ht="14.25">
      <c r="K17" s="1632"/>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E7B5C2-0EAE-F104-2B0B-11FCFC8E27DB}"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1657" width="9.140625" hidden="1" customWidth="1"/>
    <col min="2" max="3" style="1660" width="9.140625" hidden="1" customWidth="1"/>
    <col min="4" max="4" style="1866" width="3.7109375" customWidth="1"/>
    <col min="5" max="5" style="1660" width="6.28125" customWidth="1"/>
    <col min="6" max="6" style="1660" width="1.7109375" hidden="1" customWidth="1"/>
    <col min="7" max="8" style="1660" width="30.7109375" customWidth="1"/>
    <col min="9" max="9" style="1660" width="9.00390625" customWidth="1"/>
    <col min="10" max="10" style="1660" width="12.140625" customWidth="1"/>
    <col min="11" max="11" style="1660" width="46.7109375" customWidth="1"/>
    <col min="12" max="12" style="1660" width="100.28125" customWidth="1"/>
    <col min="13" max="13" style="1844" width="7.57421875" customWidth="1"/>
    <col min="14" max="22" style="1660" width="10.57421875"/>
  </cols>
  <sheetData>
    <row s="1667" customFormat="1" customHeight="1" ht="5.25" hidden="1">
      <c r="C1" s="507"/>
      <c r="D1" s="490"/>
      <c r="F1" s="507"/>
      <c r="G1" s="485" t="s">
        <v>82</v>
      </c>
      <c r="H1" s="485" t="s">
        <v>83</v>
      </c>
      <c r="I1" s="485" t="s">
        <v>84</v>
      </c>
      <c r="P1" s="485" t="s">
        <v>82</v>
      </c>
      <c r="Q1" s="485" t="s">
        <v>83</v>
      </c>
      <c r="R1" s="485" t="s">
        <v>84</v>
      </c>
    </row>
    <row s="1667" customFormat="1" customHeight="1" ht="5.25" hidden="1">
      <c r="C2" s="507"/>
      <c r="D2" s="490"/>
      <c r="F2" s="507"/>
    </row>
    <row s="1637" customFormat="1" customHeight="1" ht="6">
      <c r="A3" s="475"/>
      <c r="D3" s="482"/>
      <c r="E3" s="477"/>
      <c r="F3" s="477"/>
      <c r="G3" s="477"/>
      <c r="H3" s="477"/>
      <c r="I3" s="478"/>
      <c r="J3" s="479"/>
      <c r="K3" s="479"/>
      <c r="L3" s="479"/>
    </row>
    <row customHeight="1" ht="22.5">
      <c r="D4" s="446"/>
      <c r="E4" s="2073" t="s">
        <v>395</v>
      </c>
      <c r="F4" s="2073"/>
      <c r="G4" s="2074"/>
      <c r="H4" s="2074"/>
      <c r="I4" s="2075"/>
      <c r="J4" s="487"/>
      <c r="K4" s="449"/>
      <c r="L4" s="449"/>
    </row>
    <row s="1660" customFormat="1" customHeight="1" ht="17.25">
      <c r="A5" s="754"/>
      <c r="D5" s="816"/>
      <c r="E5" s="2061" t="str">
        <f>IF(org=0,"Не определено",org)</f>
        <v>ООО "ПРОМ ИМПУЛЬС"</v>
      </c>
      <c r="F5" s="2061"/>
      <c r="G5" s="2062"/>
      <c r="H5" s="2062"/>
      <c r="I5" s="2063"/>
      <c r="J5" s="487"/>
      <c r="K5" s="449"/>
      <c r="L5" s="449"/>
      <c r="M5" s="503"/>
    </row>
    <row s="1637" customFormat="1" customHeight="1" ht="11.25">
      <c r="A6" s="475"/>
      <c r="D6" s="482"/>
      <c r="E6" s="477"/>
      <c r="F6" s="477"/>
      <c r="G6" s="480"/>
      <c r="H6" s="480"/>
      <c r="I6" s="481"/>
      <c r="J6" s="481"/>
      <c r="K6" s="747"/>
      <c r="L6" s="481"/>
    </row>
    <row customHeight="1" ht="14.25">
      <c r="D7" s="446"/>
      <c r="E7" s="2043" t="s">
        <v>305</v>
      </c>
      <c r="F7" s="2043"/>
      <c r="G7" s="2044"/>
      <c r="H7" s="2044"/>
      <c r="I7" s="2044"/>
      <c r="J7" s="2044"/>
      <c r="K7" s="2044"/>
      <c r="L7" s="2049" t="s">
        <v>306</v>
      </c>
    </row>
    <row customHeight="1" ht="45">
      <c r="D8" s="446"/>
      <c r="E8" s="469" t="s">
        <v>87</v>
      </c>
      <c r="F8" s="817"/>
      <c r="G8" s="461" t="s">
        <v>85</v>
      </c>
      <c r="H8" s="461" t="s">
        <v>86</v>
      </c>
      <c r="I8" s="411" t="s">
        <v>84</v>
      </c>
      <c r="J8" s="411" t="s">
        <v>396</v>
      </c>
      <c r="K8" s="411" t="s">
        <v>397</v>
      </c>
      <c r="L8" s="2049"/>
    </row>
    <row customHeight="1" ht="12" hidden="1">
      <c r="D9" s="483"/>
      <c r="E9" s="489"/>
      <c r="F9" s="824"/>
      <c r="G9" s="489"/>
      <c r="H9" s="489"/>
      <c r="I9" s="489"/>
      <c r="J9" s="489"/>
      <c r="K9" s="489"/>
      <c r="L9" s="489"/>
      <c r="M9" s="443"/>
    </row>
    <row customHeight="1" ht="14.25" hidden="1">
      <c r="A10" s="501"/>
      <c r="B10" s="501"/>
      <c r="D10" s="502"/>
      <c r="E10" s="508">
        <v>0</v>
      </c>
      <c r="F10" s="815"/>
      <c r="G10" s="504"/>
      <c r="H10" s="504"/>
      <c r="I10" s="504"/>
      <c r="J10" s="504"/>
      <c r="K10" s="504"/>
      <c r="L10" s="2059" t="s">
        <v>398</v>
      </c>
      <c r="M10" s="503"/>
      <c r="N10" s="501"/>
      <c r="O10" s="501"/>
      <c r="P10" s="501"/>
      <c r="Q10" s="501"/>
      <c r="R10" s="501"/>
      <c r="S10" s="501"/>
      <c r="T10" s="501"/>
      <c r="U10" s="501"/>
      <c r="V10" s="501"/>
    </row>
    <row customHeight="1" ht="15" hidden="1">
      <c r="A11" s="1935"/>
      <c r="B11" s="500"/>
      <c r="C11" s="500"/>
      <c r="D11" s="859"/>
      <c r="E11" s="509"/>
      <c r="F11" s="509"/>
      <c r="G11" s="509"/>
      <c r="H11" s="509"/>
      <c r="I11" s="510"/>
      <c r="J11" s="511"/>
      <c r="K11" s="708"/>
      <c r="L11" s="2076"/>
      <c r="M11" s="507"/>
      <c r="N11" s="507"/>
      <c r="O11" s="507"/>
      <c r="P11" s="512"/>
      <c r="Q11" s="512"/>
      <c r="R11" s="513"/>
      <c r="S11" s="507"/>
      <c r="T11" s="507"/>
      <c r="U11" s="507"/>
      <c r="V11" s="507"/>
    </row>
    <row s="1637" customFormat="1" customHeight="1" ht="14.25">
      <c r="A12" s="1935"/>
      <c r="B12" s="500"/>
      <c r="C12" s="500"/>
      <c r="D12" s="860"/>
      <c r="E12" s="817">
        <v>1</v>
      </c>
      <c r="F12" s="858">
        <v>23</v>
      </c>
      <c r="G12" s="857"/>
      <c r="H12" s="787"/>
      <c r="I12" s="785"/>
      <c r="J12" s="516" t="s">
        <v>66</v>
      </c>
      <c r="K12" s="1159" t="s">
        <v>24</v>
      </c>
      <c r="L12" s="2076"/>
      <c r="M12" s="507"/>
      <c r="N12" s="507"/>
      <c r="O12" s="507"/>
      <c r="P12" s="512" t="s">
        <v>399</v>
      </c>
      <c r="Q12" s="512" t="s">
        <v>400</v>
      </c>
      <c r="R12" s="513" t="s">
        <v>401</v>
      </c>
      <c r="S12" s="507" t="s">
        <v>402</v>
      </c>
      <c r="T12" s="507"/>
      <c r="U12" s="507"/>
      <c r="V12" s="507"/>
    </row>
    <row customHeight="1" ht="15">
      <c r="A13" s="1935"/>
      <c r="B13" s="501"/>
      <c r="D13" s="502"/>
      <c r="E13" s="402"/>
      <c r="F13" s="525"/>
      <c r="G13" s="413" t="s">
        <v>101</v>
      </c>
      <c r="H13" s="401"/>
      <c r="I13" s="401"/>
      <c r="J13" s="401"/>
      <c r="K13" s="400"/>
      <c r="L13" s="2060"/>
      <c r="M13" s="505"/>
      <c r="N13" s="501"/>
      <c r="O13" s="501"/>
      <c r="P13" s="501"/>
      <c r="Q13" s="501"/>
      <c r="R13" s="501"/>
      <c r="S13" s="501"/>
      <c r="T13" s="501"/>
      <c r="U13" s="501"/>
      <c r="V13" s="501"/>
    </row>
    <row customHeight="1" ht="11.25">
      <c r="A14" s="475"/>
      <c r="B14" s="476"/>
      <c r="C14" s="476"/>
      <c r="D14" s="491"/>
      <c r="E14" s="476"/>
      <c r="F14" s="476"/>
      <c r="G14" s="476"/>
      <c r="H14" s="476"/>
      <c r="I14" s="476"/>
      <c r="J14" s="476"/>
      <c r="K14" s="476"/>
      <c r="L14" s="476"/>
      <c r="M14" s="476"/>
      <c r="N14" s="476"/>
      <c r="O14" s="476"/>
      <c r="P14" s="476"/>
      <c r="Q14" s="476"/>
      <c r="R14" s="476"/>
      <c r="S14" s="476"/>
      <c r="T14" s="476"/>
      <c r="U14" s="476"/>
      <c r="V14" s="476"/>
    </row>
    <row customHeight="1" ht="14.25">
      <c r="D15" s="462"/>
      <c r="E15" s="324"/>
      <c r="F15" s="324"/>
      <c r="G15" s="65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2"/>
      <c r="I15" s="462"/>
      <c r="J15" s="462"/>
      <c r="K15" s="462"/>
      <c r="L15" s="462"/>
    </row>
    <row r="18" customHeight="1" ht="14.25">
      <c r="G18" s="50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3794CE-9A62-5777-1829-B1D0B313103E}"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26">
        <f>INDEX(PT_DIFFERENTIATION_NUM_NTAR,MATCH(A2,PT_DIFFERENTIATION_NTAR_ID,0))</f>
      </c>
      <c r="T2" s="278" t="s">
        <v>122</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403</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21"/>
      <c r="Q3" s="340"/>
      <c r="R3" s="341"/>
      <c r="S3" s="1326">
        <f>INDEX(PT_DIFFERENTIATION_NUM_TER,MATCH(B3,PT_DIFFERENTIATION_TER_ID,0))</f>
      </c>
      <c r="T3" s="290" t="s">
        <v>404</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405</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26">
        <f>INDEX(PT_DIFFERENTIATION_NUM_CS,MATCH(C4,PT_DIFFERENTIATION_CS_ID,0))</f>
      </c>
      <c r="T4" s="291" t="s">
        <v>406</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407</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26">
        <f>INDEX(PT_DIFFERENTIATION_NUM_IST_TE,MATCH(D5,PT_DIFFERENTIATION_IST_TE_ID,0))</f>
      </c>
      <c r="T5" s="292" t="s">
        <v>408</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409</v>
      </c>
      <c r="AO5" s="496"/>
      <c r="AP5" s="496" t="str">
        <f>IF(T5="","",T5)</f>
        <v>Источник тепловой энергии  </v>
      </c>
      <c r="AQ5" s="496"/>
      <c r="AR5" s="496"/>
    </row>
    <row customHeight="1" ht="47.25" hidden="1">
      <c r="A6" s="1380"/>
      <c r="B6" s="1380"/>
      <c r="C6" s="1380"/>
      <c r="D6" s="1380"/>
      <c r="E6" s="2090"/>
      <c r="F6" s="2090"/>
      <c r="G6" s="2090"/>
      <c r="H6" s="2090"/>
      <c r="I6" s="2091">
        <f>S5&amp;".1"</f>
      </c>
      <c r="J6" s="1380"/>
      <c r="K6" s="1380"/>
      <c r="L6" s="1381" t="s">
        <v>410</v>
      </c>
      <c r="M6" s="533"/>
      <c r="P6" s="2093">
        <v>1</v>
      </c>
      <c r="Q6" s="1322"/>
      <c r="R6" s="344"/>
      <c r="S6" s="1326">
        <f>$I6</f>
      </c>
      <c r="T6" s="266" t="s">
        <v>411</v>
      </c>
      <c r="U6" s="280"/>
      <c r="V6" s="2077"/>
      <c r="W6" s="2078"/>
      <c r="X6" s="2078"/>
      <c r="Y6" s="2078"/>
      <c r="Z6" s="2078"/>
      <c r="AA6" s="2078"/>
      <c r="AB6" s="2078"/>
      <c r="AC6" s="2079"/>
      <c r="AD6" s="2077"/>
      <c r="AE6" s="2078"/>
      <c r="AF6" s="2078"/>
      <c r="AG6" s="2078"/>
      <c r="AH6" s="2078"/>
      <c r="AI6" s="2078"/>
      <c r="AJ6" s="2078"/>
      <c r="AK6" s="2078"/>
      <c r="AL6" s="2079"/>
      <c r="AM6" s="1273" t="s">
        <v>412</v>
      </c>
      <c r="AO6" s="496"/>
      <c r="AP6" s="496" t="str">
        <f>IF(T6="","",T6)</f>
        <v>Схема подключения теплопотребляющей установки к коллектору источника тепловой энергии</v>
      </c>
      <c r="AQ6" s="496"/>
      <c r="AR6" s="496"/>
    </row>
    <row customHeight="1" ht="21" hidden="1">
      <c r="A7" s="1380"/>
      <c r="B7" s="1380"/>
      <c r="C7" s="1380"/>
      <c r="D7" s="1380"/>
      <c r="E7" s="2090"/>
      <c r="F7" s="2090"/>
      <c r="G7" s="2090"/>
      <c r="H7" s="2090"/>
      <c r="I7" s="2092"/>
      <c r="J7" s="2091">
        <f>I6&amp;".1"</f>
      </c>
      <c r="K7" s="1380"/>
      <c r="L7" s="1381" t="s">
        <v>413</v>
      </c>
      <c r="M7" s="533"/>
      <c r="N7" s="1383"/>
      <c r="P7" s="2093"/>
      <c r="Q7" s="2093">
        <v>1</v>
      </c>
      <c r="R7" s="345"/>
      <c r="S7" s="1326">
        <f>$J7</f>
      </c>
      <c r="T7" s="267" t="s">
        <v>414</v>
      </c>
      <c r="U7" s="280"/>
      <c r="V7" s="2077"/>
      <c r="W7" s="2078"/>
      <c r="X7" s="2078"/>
      <c r="Y7" s="2078"/>
      <c r="Z7" s="2078"/>
      <c r="AA7" s="2078"/>
      <c r="AB7" s="2078"/>
      <c r="AC7" s="2079"/>
      <c r="AD7" s="2077"/>
      <c r="AE7" s="2078"/>
      <c r="AF7" s="2078"/>
      <c r="AG7" s="2078"/>
      <c r="AH7" s="2078"/>
      <c r="AI7" s="2078"/>
      <c r="AJ7" s="2078"/>
      <c r="AK7" s="2078"/>
      <c r="AL7" s="2079"/>
      <c r="AM7" s="1273" t="s">
        <v>415</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416</v>
      </c>
      <c r="M8" s="533"/>
      <c r="N8" s="1383"/>
      <c r="O8" s="1383"/>
      <c r="P8" s="2093"/>
      <c r="Q8" s="2093"/>
      <c r="R8" s="345">
        <v>1</v>
      </c>
      <c r="S8" s="1326">
        <f>$K8</f>
      </c>
      <c r="T8" s="1364"/>
      <c r="U8" s="280"/>
      <c r="V8" s="746"/>
      <c r="W8" s="312"/>
      <c r="X8" s="746"/>
      <c r="Y8" s="1272"/>
      <c r="Z8" s="2094"/>
      <c r="AA8" s="1963" t="s">
        <v>66</v>
      </c>
      <c r="AB8" s="2094"/>
      <c r="AC8" s="1963" t="s">
        <v>66</v>
      </c>
      <c r="AD8" s="746"/>
      <c r="AE8" s="312"/>
      <c r="AF8" s="746"/>
      <c r="AG8" s="1272"/>
      <c r="AH8" s="2094"/>
      <c r="AI8" s="1963" t="s">
        <v>66</v>
      </c>
      <c r="AJ8" s="2094"/>
      <c r="AK8" s="1963" t="s">
        <v>66</v>
      </c>
      <c r="AL8" s="312"/>
      <c r="AM8" s="2119" t="s">
        <v>417</v>
      </c>
      <c r="AN8" s="507">
        <f>STRCHECKDATE(V9:AL9)</f>
      </c>
      <c r="AO8" s="496"/>
      <c r="AP8" s="496" t="str">
        <f>IF(T8="","",T8)</f>
        <v/>
      </c>
      <c r="AQ8" s="496"/>
      <c r="AR8" s="496"/>
    </row>
    <row customHeight="1" ht="0.75" hidden="1">
      <c r="A9" s="1380"/>
      <c r="B9" s="1380"/>
      <c r="C9" s="1380"/>
      <c r="D9" s="1380"/>
      <c r="E9" s="2090"/>
      <c r="F9" s="2090"/>
      <c r="G9" s="2090"/>
      <c r="H9" s="2090"/>
      <c r="I9" s="2092"/>
      <c r="J9" s="2092"/>
      <c r="K9" s="2091"/>
      <c r="L9" s="1381"/>
      <c r="M9" s="533"/>
      <c r="N9" s="1383"/>
      <c r="O9" s="1383"/>
      <c r="P9" s="2093"/>
      <c r="Q9" s="2093"/>
      <c r="R9" s="345"/>
      <c r="S9" s="1323"/>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9" t="s">
        <v>418</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5" hidden="1">
      <c r="A11" s="1380"/>
      <c r="B11" s="1380"/>
      <c r="C11" s="1380"/>
      <c r="D11" s="1380"/>
      <c r="E11" s="2090"/>
      <c r="F11" s="2090"/>
      <c r="G11" s="2090"/>
      <c r="H11" s="2090"/>
      <c r="I11" s="2091"/>
      <c r="J11" s="1380"/>
      <c r="K11" s="1380"/>
      <c r="L11" s="1381"/>
      <c r="M11" s="533"/>
      <c r="P11" s="2093"/>
      <c r="Q11" s="1322"/>
      <c r="R11" s="344"/>
      <c r="S11" s="1295"/>
      <c r="T11" s="268" t="s">
        <v>419</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295"/>
      <c r="T12" s="356" t="s">
        <v>420</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166</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167</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168</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P17" s="1328"/>
      <c r="AD17" s="1377"/>
      <c r="AE17" s="1377"/>
      <c r="AF17" s="1377"/>
      <c r="AG17" s="1378"/>
      <c r="AH17" s="2087"/>
      <c r="AI17" s="2086" t="s">
        <v>66</v>
      </c>
      <c r="AJ17" s="2087"/>
      <c r="AK17" s="2086" t="s">
        <v>66</v>
      </c>
    </row>
    <row customHeight="1" ht="14.25" hidden="1">
      <c r="P18" s="1328"/>
      <c r="AD18" s="1377"/>
      <c r="AE18" s="1377"/>
      <c r="AF18" s="1377"/>
      <c r="AG18" s="316" t="str">
        <f>AH17&amp;"-"&amp;AJ17</f>
        <v>-</v>
      </c>
      <c r="AH18" s="2086"/>
      <c r="AI18" s="2086"/>
      <c r="AJ18" s="2086"/>
      <c r="AK18" s="2086"/>
    </row>
    <row customHeight="1" ht="14.25" hidden="1">
      <c r="P19" s="1328"/>
      <c r="AK19" s="315"/>
    </row>
    <row s="1383" customFormat="1" customHeight="1" ht="22.5" hidden="1">
      <c r="L20" s="1346"/>
      <c r="M20" s="1379"/>
      <c r="N20" s="1379"/>
      <c r="O20" s="1384" t="s">
        <v>421</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422</v>
      </c>
      <c r="P22" s="1379"/>
      <c r="Q22" s="1388"/>
      <c r="R22" s="1388"/>
      <c r="S22" s="724"/>
      <c r="T22" s="1155" t="s">
        <v>423</v>
      </c>
      <c r="AA22" s="166" t="s">
        <v>424</v>
      </c>
      <c r="AC22" s="166" t="s">
        <v>425</v>
      </c>
      <c r="AD22" s="1155" t="s">
        <v>423</v>
      </c>
      <c r="AI22" s="166" t="s">
        <v>426</v>
      </c>
      <c r="AK22" s="166" t="s">
        <v>425</v>
      </c>
      <c r="AN22" s="507"/>
      <c r="AO22" s="507"/>
      <c r="AP22" s="507"/>
      <c r="AQ22" s="507"/>
      <c r="AR22" s="507"/>
    </row>
    <row customHeight="1" ht="14.25" hidden="1">
      <c r="O23" s="1381"/>
      <c r="P23" s="1328"/>
    </row>
    <row customHeight="1" ht="14.25" hidden="1">
      <c r="O24" s="1381"/>
      <c r="P24" s="1328"/>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14.25">
      <c r="Q26" s="368"/>
      <c r="R26" s="368"/>
      <c r="S26" s="212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ООО "ПРОМ ИМПУЛЬС"</v>
      </c>
      <c r="T27" s="2123"/>
      <c r="U27" s="2123"/>
      <c r="V27" s="2123"/>
      <c r="W27" s="2123"/>
      <c r="X27" s="2123"/>
      <c r="Y27" s="2123"/>
      <c r="Z27" s="2123"/>
      <c r="AA27" s="2123"/>
      <c r="AB27" s="2123"/>
      <c r="AC27" s="2123"/>
      <c r="AD27" s="2123"/>
      <c r="AE27" s="2123"/>
      <c r="AF27" s="2123"/>
      <c r="AG27" s="2123"/>
      <c r="AH27" s="2123"/>
      <c r="AI27" s="2123"/>
      <c r="AJ27" s="2123"/>
      <c r="AK27" s="1248"/>
    </row>
    <row customHeight="1" ht="14.25">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Комитет по тарифам Санкт-Петербурга</v>
      </c>
      <c r="W29" s="2082"/>
      <c r="X29" s="2082"/>
      <c r="Y29" s="2082"/>
      <c r="Z29" s="2082"/>
      <c r="AA29" s="2082"/>
      <c r="AB29" s="2082"/>
      <c r="AC29" s="314"/>
      <c r="AD29" s="2082" t="str">
        <f>IF(TITLE_NAME_OR_PR_CHANGE="",IF(TITLE_NAME_OR_PR="","",TITLE_NAME_OR_PR),TITLE_NAME_OR_PR_CHANGE)</f>
        <v>Комитет по тарифам Санкт-Петербурга</v>
      </c>
      <c r="AE29" s="2082"/>
      <c r="AF29" s="2082"/>
      <c r="AG29" s="2082"/>
      <c r="AH29" s="2082"/>
      <c r="AI29" s="2082"/>
      <c r="AJ29" s="2082"/>
      <c r="AK29" s="314"/>
      <c r="AL29" s="314"/>
      <c r="AM29" s="261"/>
      <c r="AN29" s="360"/>
      <c r="AO29" s="360"/>
      <c r="AP29" s="360"/>
      <c r="AQ29" s="360"/>
      <c r="AR29" s="360"/>
    </row>
    <row s="1877" customFormat="1" customHeight="1" ht="18.75">
      <c r="A30" s="1385"/>
      <c r="B30" s="1385"/>
      <c r="C30" s="1385"/>
      <c r="D30" s="1385"/>
      <c r="E30" s="1385"/>
      <c r="F30" s="1385"/>
      <c r="G30" s="1385"/>
      <c r="H30" s="1385"/>
      <c r="I30" s="1385"/>
      <c r="J30" s="1385"/>
      <c r="K30" s="1385"/>
      <c r="L30" s="1386"/>
      <c r="M30" s="1385"/>
      <c r="N30" s="1385"/>
      <c r="O30" s="1385"/>
      <c r="S30" s="2080" t="s">
        <v>427</v>
      </c>
      <c r="T30" s="2080"/>
      <c r="U30" s="1389"/>
      <c r="V30" s="2081" t="str">
        <f>IF(TITLE_DATE_PR_CHANGE="",IF(TITLE_DATE_PR="","",TITLE_DATE_PR),TITLE_DATE_PR_CHANGE)</f>
        <v>45268.58207175926</v>
      </c>
      <c r="W30" s="2081"/>
      <c r="X30" s="2081"/>
      <c r="Y30" s="2081"/>
      <c r="Z30" s="2081"/>
      <c r="AA30" s="2081"/>
      <c r="AB30" s="2081"/>
      <c r="AC30" s="314"/>
      <c r="AD30" s="2081" t="str">
        <f>IF(TITLE_DATE_PR_CHANGE="",IF(TITLE_DATE_PR="","",TITLE_DATE_PR),TITLE_DATE_PR_CHANGE)</f>
        <v>45268.58207175926</v>
      </c>
      <c r="AE30" s="2081"/>
      <c r="AF30" s="2081"/>
      <c r="AG30" s="2081"/>
      <c r="AH30" s="2081"/>
      <c r="AI30" s="2081"/>
      <c r="AJ30" s="2081"/>
      <c r="AK30" s="314"/>
      <c r="AL30" s="314"/>
      <c r="AM30" s="261"/>
      <c r="AN30" s="360"/>
      <c r="AO30" s="360"/>
      <c r="AP30" s="360"/>
      <c r="AQ30" s="360"/>
      <c r="AR30" s="360"/>
    </row>
    <row s="1877" customFormat="1" customHeight="1" ht="18.75">
      <c r="A31" s="1385"/>
      <c r="B31" s="1385"/>
      <c r="C31" s="1385"/>
      <c r="D31" s="1385"/>
      <c r="E31" s="1385"/>
      <c r="F31" s="1385"/>
      <c r="G31" s="1385"/>
      <c r="H31" s="1385"/>
      <c r="I31" s="1385"/>
      <c r="J31" s="1385"/>
      <c r="K31" s="1385"/>
      <c r="L31" s="1386"/>
      <c r="M31" s="1385"/>
      <c r="N31" s="1385"/>
      <c r="O31" s="1385"/>
      <c r="S31" s="2080" t="s">
        <v>428</v>
      </c>
      <c r="T31" s="2080"/>
      <c r="U31" s="1389"/>
      <c r="V31" s="2082" t="str">
        <f>IF(TITLE_NUMBER_PR_CHANGE="",IF(TITLE_NUMBER_PR="","",TITLE_NUMBER_PR),TITLE_NUMBER_PR_CHANGE)</f>
        <v>237-р</v>
      </c>
      <c r="W31" s="2082"/>
      <c r="X31" s="2082"/>
      <c r="Y31" s="2082"/>
      <c r="Z31" s="2082"/>
      <c r="AA31" s="2082"/>
      <c r="AB31" s="2082"/>
      <c r="AC31" s="314"/>
      <c r="AD31" s="2082" t="str">
        <f>IF(TITLE_NUMBER_PR_CHANGE="",IF(TITLE_NUMBER_PR="","",TITLE_NUMBER_PR),TITLE_NUMBER_PR_CHANGE)</f>
        <v>237-р</v>
      </c>
      <c r="AE31" s="2082"/>
      <c r="AF31" s="2082"/>
      <c r="AG31" s="2082"/>
      <c r="AH31" s="2082"/>
      <c r="AI31" s="2082"/>
      <c r="AJ31" s="2082"/>
      <c r="AK31" s="314"/>
      <c r="AL31" s="314"/>
      <c r="AM31" s="261"/>
      <c r="AN31" s="360"/>
      <c r="AO31" s="360"/>
      <c r="AP31" s="360"/>
      <c r="AQ31" s="360"/>
      <c r="AR31" s="360"/>
    </row>
    <row s="1877" customFormat="1" customHeight="1" ht="18.75">
      <c r="A32" s="1385"/>
      <c r="B32" s="1385"/>
      <c r="C32" s="1385"/>
      <c r="D32" s="1385"/>
      <c r="E32" s="1385"/>
      <c r="F32" s="1385"/>
      <c r="G32" s="1385"/>
      <c r="H32" s="1385"/>
      <c r="I32" s="1385"/>
      <c r="J32" s="1385"/>
      <c r="K32" s="1385"/>
      <c r="L32" s="1386"/>
      <c r="M32" s="1385"/>
      <c r="N32" s="1385"/>
      <c r="O32" s="1385"/>
      <c r="S32" s="2080" t="s">
        <v>40</v>
      </c>
      <c r="T32" s="2080"/>
      <c r="U32" s="1389"/>
      <c r="V32" s="2082" t="str">
        <f>IF(TITLE_IST_PUB_CHANGE="",IF(TITLE_IST_PUB="","",TITLE_IST_PUB),TITLE_IST_PUB_CHANGE)</f>
        <v>https://www.gov.spb.ru/gov/otrasl/energ_kom/inform_/standarty-raskrytiya-informacii-komitetom/teplo/</v>
      </c>
      <c r="W32" s="2082"/>
      <c r="X32" s="2082"/>
      <c r="Y32" s="2082"/>
      <c r="Z32" s="2082"/>
      <c r="AA32" s="2082"/>
      <c r="AB32" s="2082"/>
      <c r="AC32" s="314"/>
      <c r="AD32" s="2082" t="str">
        <f>IF(TITLE_IST_PUB_CHANGE="",IF(TITLE_IST_PUB="","",TITLE_IST_PUB),TITLE_IST_PUB_CHANGE)</f>
        <v>https://www.gov.spb.ru/gov/otrasl/energ_kom/inform_/standarty-raskrytiya-informacii-komitetom/teplo/</v>
      </c>
      <c r="AE32" s="2082"/>
      <c r="AF32" s="2082"/>
      <c r="AG32" s="2082"/>
      <c r="AH32" s="2082"/>
      <c r="AI32" s="2082"/>
      <c r="AJ32" s="2082"/>
      <c r="AK32" s="314"/>
      <c r="AL32" s="314"/>
      <c r="AM32" s="261"/>
      <c r="AN32" s="360"/>
      <c r="AO32" s="360"/>
      <c r="AP32" s="360"/>
      <c r="AQ32" s="360"/>
      <c r="AR32" s="360"/>
    </row>
    <row customHeight="1" ht="14.25" hidden="1">
      <c r="P33" s="1345"/>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hidden="1">
      <c r="A34" s="1385"/>
      <c r="B34" s="1385"/>
      <c r="C34" s="1385"/>
      <c r="D34" s="1385"/>
      <c r="E34" s="1385"/>
      <c r="F34" s="1385"/>
      <c r="G34" s="1385"/>
      <c r="H34" s="1385"/>
      <c r="I34" s="1385"/>
      <c r="J34" s="1385"/>
      <c r="K34" s="1385"/>
      <c r="L34" s="1386"/>
      <c r="M34" s="1385"/>
      <c r="N34" s="1385"/>
      <c r="O34" s="1385"/>
      <c r="S34" s="2080" t="s">
        <v>429</v>
      </c>
      <c r="T34" s="2080"/>
      <c r="U34" s="1389"/>
      <c r="V34" s="2081" t="str">
        <f>IF(TITLE_DATE_PR_CHANGE="",IF(TITLE_DATE_PR="","",TITLE_DATE_PR),TITLE_DATE_PR_CHANGE)</f>
        <v>45268.58207175926</v>
      </c>
      <c r="W34" s="2081"/>
      <c r="X34" s="2081"/>
      <c r="Y34" s="2081"/>
      <c r="Z34" s="2081"/>
      <c r="AA34" s="2081"/>
      <c r="AB34" s="2081"/>
      <c r="AC34" s="314"/>
      <c r="AD34" s="2081" t="str">
        <f>IF(TITLE_DATE_PR_CHANGE="",IF(TITLE_DATE_PR="","",TITLE_DATE_PR),TITLE_DATE_PR_CHANGE)</f>
        <v>45268.58207175926</v>
      </c>
      <c r="AE34" s="2081"/>
      <c r="AF34" s="2081"/>
      <c r="AG34" s="2081"/>
      <c r="AH34" s="2081"/>
      <c r="AI34" s="2081"/>
      <c r="AJ34" s="2081"/>
      <c r="AK34" s="314"/>
      <c r="AL34" s="314"/>
      <c r="AM34" s="261"/>
      <c r="AN34" s="360"/>
      <c r="AO34" s="360"/>
      <c r="AP34" s="360"/>
      <c r="AQ34" s="360"/>
      <c r="AR34" s="360"/>
    </row>
    <row s="1877" customFormat="1" customHeight="1" ht="18.75" hidden="1">
      <c r="A35" s="1385"/>
      <c r="B35" s="1385"/>
      <c r="C35" s="1385"/>
      <c r="D35" s="1385"/>
      <c r="E35" s="1385"/>
      <c r="F35" s="1385"/>
      <c r="G35" s="1385"/>
      <c r="H35" s="1385"/>
      <c r="I35" s="1385"/>
      <c r="J35" s="1385"/>
      <c r="K35" s="1385"/>
      <c r="L35" s="1386"/>
      <c r="M35" s="1385"/>
      <c r="N35" s="1385"/>
      <c r="O35" s="1385"/>
      <c r="S35" s="2080" t="s">
        <v>430</v>
      </c>
      <c r="T35" s="2080"/>
      <c r="U35" s="1389"/>
      <c r="V35" s="2082" t="str">
        <f>IF(TITLE_NUMBER_PR_CHANGE="",IF(TITLE_NUMBER_PR="","",TITLE_NUMBER_PR),TITLE_NUMBER_PR_CHANGE)</f>
        <v>237-р</v>
      </c>
      <c r="W35" s="2082"/>
      <c r="X35" s="2082"/>
      <c r="Y35" s="2082"/>
      <c r="Z35" s="2082"/>
      <c r="AA35" s="2082"/>
      <c r="AB35" s="2082"/>
      <c r="AC35" s="314"/>
      <c r="AD35" s="2082" t="str">
        <f>IF(TITLE_NUMBER_PR_CHANGE="",IF(TITLE_NUMBER_PR="","",TITLE_NUMBER_PR),TITLE_NUMBER_PR_CHANGE)</f>
        <v>237-р</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220"/>
      <c r="V36" s="314"/>
      <c r="W36" s="314"/>
      <c r="X36" s="314"/>
      <c r="Y36" s="314"/>
      <c r="Z36" s="314"/>
      <c r="AA36" s="314"/>
      <c r="AB36" s="314"/>
      <c r="AC36" s="259" t="s">
        <v>431</v>
      </c>
      <c r="AD36" s="314"/>
      <c r="AE36" s="314"/>
      <c r="AF36" s="314"/>
      <c r="AG36" s="314"/>
      <c r="AH36" s="314"/>
      <c r="AI36" s="314"/>
      <c r="AJ36" s="314"/>
      <c r="AK36" s="259" t="s">
        <v>431</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305</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306</v>
      </c>
    </row>
    <row customHeight="1" ht="14.25">
      <c r="Q39" s="368"/>
      <c r="R39" s="368"/>
      <c r="S39" s="2107" t="s">
        <v>87</v>
      </c>
      <c r="T39" s="2044" t="s">
        <v>432</v>
      </c>
      <c r="U39" s="281"/>
      <c r="V39" s="2108" t="s">
        <v>433</v>
      </c>
      <c r="W39" s="2109"/>
      <c r="X39" s="2109"/>
      <c r="Y39" s="2109"/>
      <c r="Z39" s="2109"/>
      <c r="AA39" s="2109"/>
      <c r="AB39" s="2110"/>
      <c r="AC39" s="2111" t="s">
        <v>434</v>
      </c>
      <c r="AD39" s="2108" t="s">
        <v>433</v>
      </c>
      <c r="AE39" s="2109"/>
      <c r="AF39" s="2109"/>
      <c r="AG39" s="2109"/>
      <c r="AH39" s="2109"/>
      <c r="AI39" s="2109"/>
      <c r="AJ39" s="2110"/>
      <c r="AK39" s="2111" t="s">
        <v>435</v>
      </c>
      <c r="AL39" s="2114" t="s">
        <v>436</v>
      </c>
      <c r="AM39" s="1953"/>
    </row>
    <row customHeight="1" ht="33.75">
      <c r="Q40" s="368"/>
      <c r="R40" s="368"/>
      <c r="S40" s="2107"/>
      <c r="T40" s="2044"/>
      <c r="U40" s="1026"/>
      <c r="V40" s="2117" t="s">
        <v>437</v>
      </c>
      <c r="W40" s="2567" t="s">
        <v>438</v>
      </c>
      <c r="X40" s="2100" t="s">
        <v>439</v>
      </c>
      <c r="Y40" s="2102"/>
      <c r="Z40" s="2100" t="s">
        <v>440</v>
      </c>
      <c r="AA40" s="2101"/>
      <c r="AB40" s="2102"/>
      <c r="AC40" s="2112"/>
      <c r="AD40" s="2117" t="s">
        <v>437</v>
      </c>
      <c r="AE40" s="2098" t="s">
        <v>438</v>
      </c>
      <c r="AF40" s="2100" t="s">
        <v>439</v>
      </c>
      <c r="AG40" s="2102"/>
      <c r="AH40" s="2100" t="s">
        <v>440</v>
      </c>
      <c r="AI40" s="2101"/>
      <c r="AJ40" s="2102"/>
      <c r="AK40" s="2112"/>
      <c r="AL40" s="2115"/>
      <c r="AM40" s="1953"/>
    </row>
    <row customHeight="1" ht="33.75">
      <c r="A41" s="1387"/>
      <c r="B41" s="1387" t="s">
        <v>134</v>
      </c>
      <c r="C41" s="1387" t="s">
        <v>135</v>
      </c>
      <c r="D41" s="1387" t="s">
        <v>136</v>
      </c>
      <c r="E41" s="1381" t="s">
        <v>441</v>
      </c>
      <c r="F41" s="1381" t="s">
        <v>442</v>
      </c>
      <c r="G41" s="1381" t="s">
        <v>443</v>
      </c>
      <c r="H41" s="1381" t="s">
        <v>444</v>
      </c>
      <c r="I41" s="1381" t="s">
        <v>445</v>
      </c>
      <c r="J41" s="1381" t="s">
        <v>446</v>
      </c>
      <c r="K41" s="1381" t="s">
        <v>447</v>
      </c>
      <c r="L41" s="1381" t="s">
        <v>422</v>
      </c>
      <c r="Q41" s="368"/>
      <c r="R41" s="368"/>
      <c r="S41" s="2107"/>
      <c r="T41" s="2044"/>
      <c r="U41" s="282"/>
      <c r="V41" s="2118"/>
      <c r="W41" s="2099"/>
      <c r="X41" s="1224" t="s">
        <v>448</v>
      </c>
      <c r="Y41" s="1224" t="s">
        <v>449</v>
      </c>
      <c r="Z41" s="1223" t="s">
        <v>450</v>
      </c>
      <c r="AA41" s="2103" t="s">
        <v>451</v>
      </c>
      <c r="AB41" s="2104"/>
      <c r="AC41" s="2113"/>
      <c r="AD41" s="2118"/>
      <c r="AE41" s="2099"/>
      <c r="AF41" s="1224" t="s">
        <v>448</v>
      </c>
      <c r="AG41" s="1224" t="s">
        <v>449</v>
      </c>
      <c r="AH41" s="1330" t="s">
        <v>450</v>
      </c>
      <c r="AI41" s="2103" t="s">
        <v>451</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108</v>
      </c>
      <c r="T42" s="1268" t="s">
        <v>109</v>
      </c>
      <c r="U42" s="1250" t="str">
        <f>OFFSET(U42,0,-1)</f>
        <v>2</v>
      </c>
      <c r="V42" s="1269">
        <f>OFFSET(V42,0,-1)+1</f>
        <v>3</v>
      </c>
      <c r="W42" s="1269"/>
      <c r="X42" s="1269">
        <f>OFFSET(X42,0,-1)+1</f>
        <v>1</v>
      </c>
      <c r="Y42" s="1269">
        <f>OFFSET(Y42,0,-1)+1</f>
        <v>2</v>
      </c>
      <c r="Z42" s="1269">
        <f>OFFSET(Z42,0,-1)+1</f>
        <v>3</v>
      </c>
      <c r="AA42" s="2105">
        <f>OFFSET(AA42,0,-1)+1</f>
        <v>4</v>
      </c>
      <c r="AB42" s="2105"/>
      <c r="AC42" s="1269">
        <f>OFFSET(AC42,0,-2)+1</f>
        <v>5</v>
      </c>
      <c r="AD42" s="1329">
        <f>OFFSET(AD42,0,-1)+1</f>
        <v>6</v>
      </c>
      <c r="AE42" s="1329"/>
      <c r="AF42" s="1329">
        <f>OFFSET(AF42,0,-1)+1</f>
        <v>1</v>
      </c>
      <c r="AG42" s="1329">
        <f>OFFSET(AG42,0,-1)+1</f>
        <v>2</v>
      </c>
      <c r="AH42" s="1329">
        <f>OFFSET(AH42,0,-1)+1</f>
        <v>3</v>
      </c>
      <c r="AI42" s="2105">
        <f>OFFSET(AI42,0,-1)+1</f>
        <v>4</v>
      </c>
      <c r="AJ42" s="2105"/>
      <c r="AK42" s="1329">
        <f>OFFSET(AK42,0,-2)+1</f>
        <v>5</v>
      </c>
      <c r="AL42" s="1250">
        <f>OFFSET(AL42,0,-1)</f>
        <v>5</v>
      </c>
      <c r="AM42" s="1269">
        <f>OFFSET(AM42,0,-1)+1</f>
        <v>6</v>
      </c>
      <c r="AN42" s="507"/>
      <c r="AO42" s="507"/>
      <c r="AP42" s="507"/>
      <c r="AQ42" s="507"/>
      <c r="AR42" s="507"/>
    </row>
    <row customHeight="1" ht="23.25">
      <c r="A43" s="1380" t="s">
        <v>154</v>
      </c>
      <c r="B43" s="1380"/>
      <c r="C43" s="1380"/>
      <c r="D43" s="1380"/>
      <c r="E43" s="2089">
        <v>1</v>
      </c>
      <c r="F43" s="1380"/>
      <c r="G43" s="1380"/>
      <c r="H43" s="1380"/>
      <c r="I43" s="1380"/>
      <c r="J43" s="1380"/>
      <c r="K43" s="1380"/>
      <c r="L43" s="1381"/>
      <c r="M43" s="1382"/>
      <c r="N43" s="1382"/>
      <c r="O43" s="1382"/>
      <c r="P43" s="349"/>
      <c r="Q43" s="348"/>
      <c r="R43" s="343"/>
      <c r="S43" s="1228">
        <f>INDEX(PT_DIFFERENTIATION_NUM_NTAR,MATCH(A43,PT_DIFFERENTIATION_NTAR_ID,0))</f>
        <v>0</v>
      </c>
      <c r="T43" s="278" t="s">
        <v>122</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6"/>
      <c r="AP43" s="496" t="str">
        <f>IF(T43="","",T43)</f>
        <v>Наименование тарифа</v>
      </c>
      <c r="AQ43" s="496"/>
      <c r="AR43" s="496"/>
    </row>
    <row customHeight="1" ht="23.25">
      <c r="A44" s="1380" t="s">
        <v>154</v>
      </c>
      <c r="B44" s="1380" t="s">
        <v>155</v>
      </c>
      <c r="C44" s="1380"/>
      <c r="D44" s="1380"/>
      <c r="E44" s="2090"/>
      <c r="F44" s="2089">
        <v>1</v>
      </c>
      <c r="G44" s="1380"/>
      <c r="H44" s="1380"/>
      <c r="I44" s="1380"/>
      <c r="J44" s="1380"/>
      <c r="K44" s="1380"/>
      <c r="L44" s="1381"/>
      <c r="M44" s="1382"/>
      <c r="N44" s="1382"/>
      <c r="O44" s="1382"/>
      <c r="P44" s="518"/>
      <c r="Q44" s="340"/>
      <c r="R44" s="341"/>
      <c r="S44" s="1228" t="str">
        <f>INDEX(PT_DIFFERENTIATION_NUM_TER,MATCH(B44,PT_DIFFERENTIATION_TER_ID,0))</f>
        <v>.</v>
      </c>
      <c r="T44" s="290" t="s">
        <v>404</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405</v>
      </c>
      <c r="AO44" s="496"/>
      <c r="AP44" s="496" t="str">
        <f>IF(T44="","",T44)</f>
        <v>Территория действия тарифа</v>
      </c>
      <c r="AQ44" s="496"/>
      <c r="AR44" s="496"/>
    </row>
    <row customHeight="1" ht="23.25">
      <c r="A45" s="1380" t="s">
        <v>154</v>
      </c>
      <c r="B45" s="1380" t="s">
        <v>155</v>
      </c>
      <c r="C45" s="1380" t="s">
        <v>156</v>
      </c>
      <c r="D45" s="1380"/>
      <c r="E45" s="2090"/>
      <c r="F45" s="2090"/>
      <c r="G45" s="2089">
        <v>1</v>
      </c>
      <c r="H45" s="1380"/>
      <c r="I45" s="1380"/>
      <c r="J45" s="1380"/>
      <c r="K45" s="1380"/>
      <c r="L45" s="1381"/>
      <c r="M45" s="1382"/>
      <c r="N45" s="1382"/>
      <c r="O45" s="1382"/>
      <c r="P45" s="342"/>
      <c r="Q45" s="340"/>
      <c r="R45" s="341"/>
      <c r="S45" s="1228" t="str">
        <f>INDEX(PT_DIFFERENTIATION_NUM_CS,MATCH(C45,PT_DIFFERENTIATION_CS_ID,0))</f>
        <v>..</v>
      </c>
      <c r="T45" s="291" t="s">
        <v>406</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407</v>
      </c>
      <c r="AO45" s="496"/>
      <c r="AP45" s="496" t="str">
        <f>IF(T45="","",T45)</f>
        <v>Наименование системы теплоснабжения </v>
      </c>
      <c r="AQ45" s="496"/>
      <c r="AR45" s="496"/>
    </row>
    <row customHeight="1" ht="23.25">
      <c r="A46" s="1380" t="s">
        <v>154</v>
      </c>
      <c r="B46" s="1380" t="s">
        <v>155</v>
      </c>
      <c r="C46" s="1380" t="s">
        <v>156</v>
      </c>
      <c r="D46" s="1380" t="s">
        <v>157</v>
      </c>
      <c r="E46" s="2090"/>
      <c r="F46" s="2090"/>
      <c r="G46" s="2090"/>
      <c r="H46" s="2089">
        <v>1</v>
      </c>
      <c r="I46" s="1380"/>
      <c r="J46" s="1380"/>
      <c r="K46" s="1380"/>
      <c r="L46" s="1381"/>
      <c r="M46" s="1382"/>
      <c r="N46" s="1382"/>
      <c r="O46" s="1382"/>
      <c r="P46" s="342"/>
      <c r="Q46" s="340"/>
      <c r="R46" s="341"/>
      <c r="S46" s="1228" t="str">
        <f>INDEX(PT_DIFFERENTIATION_NUM_IST_TE,MATCH(D46,PT_DIFFERENTIATION_IST_TE_ID,0))</f>
        <v>...</v>
      </c>
      <c r="T46" s="292" t="s">
        <v>408</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409</v>
      </c>
      <c r="AO46" s="496"/>
      <c r="AP46" s="496" t="str">
        <f>IF(T46="","",T46)</f>
        <v>Источник тепловой энергии  </v>
      </c>
      <c r="AQ46" s="496"/>
      <c r="AR46" s="496"/>
    </row>
    <row customHeight="1" ht="47.25">
      <c r="A47" s="1380" t="s">
        <v>154</v>
      </c>
      <c r="B47" s="1380" t="s">
        <v>155</v>
      </c>
      <c r="C47" s="1380" t="s">
        <v>156</v>
      </c>
      <c r="D47" s="1380" t="s">
        <v>157</v>
      </c>
      <c r="E47" s="2090"/>
      <c r="F47" s="2090"/>
      <c r="G47" s="2090"/>
      <c r="H47" s="2090"/>
      <c r="I47" s="2091" t="str">
        <f>S46&amp;".1"</f>
        <v>....1</v>
      </c>
      <c r="J47" s="1380"/>
      <c r="K47" s="1380"/>
      <c r="L47" s="1381" t="s">
        <v>410</v>
      </c>
      <c r="P47" s="2093">
        <v>1</v>
      </c>
      <c r="Q47" s="1222"/>
      <c r="R47" s="344"/>
      <c r="S47" s="1228" t="str">
        <f>$I47</f>
        <v>....1</v>
      </c>
      <c r="T47" s="266" t="s">
        <v>411</v>
      </c>
      <c r="U47" s="280"/>
      <c r="V47" s="2077"/>
      <c r="W47" s="2078"/>
      <c r="X47" s="2078"/>
      <c r="Y47" s="2078"/>
      <c r="Z47" s="2078"/>
      <c r="AA47" s="2078"/>
      <c r="AB47" s="2078"/>
      <c r="AC47" s="2079"/>
      <c r="AD47" s="2077"/>
      <c r="AE47" s="2078"/>
      <c r="AF47" s="2078"/>
      <c r="AG47" s="2078"/>
      <c r="AH47" s="2078"/>
      <c r="AI47" s="2078"/>
      <c r="AJ47" s="2078"/>
      <c r="AK47" s="2078"/>
      <c r="AL47" s="2079"/>
      <c r="AM47" s="1273" t="s">
        <v>412</v>
      </c>
      <c r="AO47" s="496"/>
      <c r="AP47" s="496" t="str">
        <f>IF(T47="","",T47)</f>
        <v>Схема подключения теплопотребляющей установки к коллектору источника тепловой энергии</v>
      </c>
      <c r="AQ47" s="496"/>
      <c r="AR47" s="496"/>
    </row>
    <row customHeight="1" ht="23.25">
      <c r="A48" s="1380" t="s">
        <v>154</v>
      </c>
      <c r="B48" s="1380" t="s">
        <v>155</v>
      </c>
      <c r="C48" s="1380" t="s">
        <v>156</v>
      </c>
      <c r="D48" s="1380" t="s">
        <v>157</v>
      </c>
      <c r="E48" s="2090"/>
      <c r="F48" s="2090"/>
      <c r="G48" s="2090"/>
      <c r="H48" s="2090"/>
      <c r="I48" s="2092"/>
      <c r="J48" s="2091" t="str">
        <f>I47&amp;".1"</f>
        <v>....1.1</v>
      </c>
      <c r="K48" s="1380"/>
      <c r="L48" s="1381" t="s">
        <v>413</v>
      </c>
      <c r="P48" s="2093"/>
      <c r="Q48" s="2093">
        <v>1</v>
      </c>
      <c r="R48" s="345"/>
      <c r="S48" s="1228" t="str">
        <f>$J48</f>
        <v>....1.1</v>
      </c>
      <c r="T48" s="267" t="s">
        <v>414</v>
      </c>
      <c r="U48" s="280"/>
      <c r="V48" s="2077"/>
      <c r="W48" s="2078"/>
      <c r="X48" s="2078"/>
      <c r="Y48" s="2078"/>
      <c r="Z48" s="2078"/>
      <c r="AA48" s="2078"/>
      <c r="AB48" s="2078"/>
      <c r="AC48" s="2079"/>
      <c r="AD48" s="2077"/>
      <c r="AE48" s="2078"/>
      <c r="AF48" s="2078"/>
      <c r="AG48" s="2078"/>
      <c r="AH48" s="2078"/>
      <c r="AI48" s="2078"/>
      <c r="AJ48" s="2078"/>
      <c r="AK48" s="2078"/>
      <c r="AL48" s="2079"/>
      <c r="AM48" s="1273" t="s">
        <v>415</v>
      </c>
      <c r="AO48" s="496"/>
      <c r="AP48" s="496" t="str">
        <f>IF(T48="","",T48)</f>
        <v>Группа потребителей</v>
      </c>
      <c r="AQ48" s="496"/>
      <c r="AR48" s="496"/>
    </row>
    <row customHeight="1" ht="23.25">
      <c r="A49" s="1380" t="s">
        <v>154</v>
      </c>
      <c r="B49" s="1380" t="s">
        <v>155</v>
      </c>
      <c r="C49" s="1380" t="s">
        <v>156</v>
      </c>
      <c r="D49" s="1380" t="s">
        <v>157</v>
      </c>
      <c r="E49" s="2090"/>
      <c r="F49" s="2090"/>
      <c r="G49" s="2090"/>
      <c r="H49" s="2090"/>
      <c r="I49" s="2092"/>
      <c r="J49" s="2092"/>
      <c r="K49" s="2091" t="str">
        <f>J48&amp;".1"</f>
        <v>....1.1.1</v>
      </c>
      <c r="L49" s="1381" t="s">
        <v>416</v>
      </c>
      <c r="P49" s="2093"/>
      <c r="Q49" s="2093"/>
      <c r="R49" s="345">
        <v>1</v>
      </c>
      <c r="S49" s="1228" t="str">
        <f>$K49</f>
        <v>....1.1.1</v>
      </c>
      <c r="T49" s="1364"/>
      <c r="U49" s="280"/>
      <c r="V49" s="746"/>
      <c r="W49" s="312"/>
      <c r="X49" s="746"/>
      <c r="Y49" s="1272"/>
      <c r="Z49" s="2094"/>
      <c r="AA49" s="1963" t="s">
        <v>66</v>
      </c>
      <c r="AB49" s="2094"/>
      <c r="AC49" s="1963" t="s">
        <v>66</v>
      </c>
      <c r="AD49" s="746"/>
      <c r="AE49" s="312"/>
      <c r="AF49" s="746"/>
      <c r="AG49" s="1272"/>
      <c r="AH49" s="2094"/>
      <c r="AI49" s="1963" t="s">
        <v>66</v>
      </c>
      <c r="AJ49" s="2096"/>
      <c r="AK49" s="1963" t="s">
        <v>66</v>
      </c>
      <c r="AL49" s="1365"/>
      <c r="AM49" s="2119" t="s">
        <v>417</v>
      </c>
      <c r="AN49" s="507">
        <f>STRCHECKDATE(V50:AL50)</f>
      </c>
      <c r="AO49" s="496"/>
      <c r="AP49" s="496" t="str">
        <f>IF(T49="","",T49)</f>
        <v/>
      </c>
      <c r="AQ49" s="496"/>
      <c r="AR49" s="496"/>
    </row>
    <row customHeight="1" ht="0.75">
      <c r="A50" s="1380" t="s">
        <v>154</v>
      </c>
      <c r="B50" s="1380" t="s">
        <v>155</v>
      </c>
      <c r="C50" s="1380" t="s">
        <v>156</v>
      </c>
      <c r="D50" s="1380" t="s">
        <v>157</v>
      </c>
      <c r="E50" s="2090"/>
      <c r="F50" s="2090"/>
      <c r="G50" s="2090"/>
      <c r="H50" s="2090"/>
      <c r="I50" s="2092"/>
      <c r="J50" s="2092"/>
      <c r="K50" s="2091"/>
      <c r="L50" s="1381"/>
      <c r="P50" s="2093"/>
      <c r="Q50" s="2093"/>
      <c r="R50" s="345"/>
      <c r="S50" s="1226"/>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154</v>
      </c>
      <c r="B51" s="1380" t="s">
        <v>155</v>
      </c>
      <c r="C51" s="1380" t="s">
        <v>156</v>
      </c>
      <c r="D51" s="1380" t="s">
        <v>157</v>
      </c>
      <c r="E51" s="2090"/>
      <c r="F51" s="2090"/>
      <c r="G51" s="2090"/>
      <c r="H51" s="2090"/>
      <c r="I51" s="2092"/>
      <c r="J51" s="2091"/>
      <c r="K51" s="1380"/>
      <c r="L51" s="1381"/>
      <c r="P51" s="2093"/>
      <c r="Q51" s="2093"/>
      <c r="R51" s="344"/>
      <c r="S51" s="1295"/>
      <c r="T51" s="269" t="s">
        <v>418</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154</v>
      </c>
      <c r="B52" s="1380" t="s">
        <v>155</v>
      </c>
      <c r="C52" s="1380" t="s">
        <v>156</v>
      </c>
      <c r="D52" s="1380" t="s">
        <v>157</v>
      </c>
      <c r="E52" s="2090"/>
      <c r="F52" s="2090"/>
      <c r="G52" s="2090"/>
      <c r="H52" s="2090"/>
      <c r="I52" s="2091"/>
      <c r="J52" s="1380"/>
      <c r="K52" s="1380"/>
      <c r="L52" s="1381"/>
      <c r="P52" s="2093"/>
      <c r="Q52" s="1222"/>
      <c r="R52" s="344"/>
      <c r="S52" s="1295"/>
      <c r="T52" s="268" t="s">
        <v>419</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0" t="s">
        <v>154</v>
      </c>
      <c r="B53" s="1380" t="s">
        <v>155</v>
      </c>
      <c r="C53" s="1380" t="s">
        <v>156</v>
      </c>
      <c r="D53" s="1380" t="s">
        <v>157</v>
      </c>
      <c r="E53" s="2090"/>
      <c r="F53" s="2090"/>
      <c r="G53" s="2090"/>
      <c r="H53" s="2089"/>
      <c r="I53" s="1380"/>
      <c r="J53" s="1380"/>
      <c r="K53" s="1380"/>
      <c r="L53" s="1381"/>
      <c r="M53" s="1382"/>
      <c r="N53" s="1382"/>
      <c r="O53" s="533"/>
      <c r="P53" s="348"/>
      <c r="Q53" s="367"/>
      <c r="R53" s="343"/>
      <c r="S53" s="1295"/>
      <c r="T53" s="356" t="s">
        <v>420</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7" customFormat="1" customHeight="1" ht="0.75">
      <c r="A54" s="1360" t="s">
        <v>154</v>
      </c>
      <c r="B54" s="1360" t="s">
        <v>155</v>
      </c>
      <c r="C54" s="1360" t="s">
        <v>156</v>
      </c>
      <c r="D54" s="1331"/>
      <c r="E54" s="2090"/>
      <c r="F54" s="2090"/>
      <c r="G54" s="2089"/>
      <c r="H54" s="1331"/>
      <c r="I54" s="1331"/>
      <c r="J54" s="1331"/>
      <c r="K54" s="1331"/>
      <c r="L54" s="1356"/>
      <c r="M54" s="1332"/>
      <c r="N54" s="1332"/>
      <c r="P54" s="1333"/>
      <c r="Q54" s="1334"/>
      <c r="R54" s="1333"/>
      <c r="S54" s="1339"/>
      <c r="T54" s="1342" t="s">
        <v>166</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154</v>
      </c>
      <c r="B55" s="1360" t="s">
        <v>155</v>
      </c>
      <c r="C55" s="1331"/>
      <c r="D55" s="1331"/>
      <c r="E55" s="2090"/>
      <c r="F55" s="2089"/>
      <c r="G55" s="1331"/>
      <c r="H55" s="1331"/>
      <c r="I55" s="1331"/>
      <c r="J55" s="1331"/>
      <c r="K55" s="1331"/>
      <c r="L55" s="1356"/>
      <c r="M55" s="1338"/>
      <c r="N55" s="1338"/>
      <c r="P55" s="1333"/>
      <c r="Q55" s="1334"/>
      <c r="R55" s="1333"/>
      <c r="S55" s="1339"/>
      <c r="T55" s="1342" t="s">
        <v>167</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154</v>
      </c>
      <c r="B56" s="1360"/>
      <c r="C56" s="1360"/>
      <c r="D56" s="1360"/>
      <c r="E56" s="2089"/>
      <c r="F56" s="1360"/>
      <c r="G56" s="1360"/>
      <c r="H56" s="1360"/>
      <c r="I56" s="1360"/>
      <c r="J56" s="1360"/>
      <c r="K56" s="1360"/>
      <c r="L56" s="1363"/>
      <c r="M56" s="1338"/>
      <c r="N56" s="1338"/>
      <c r="O56" s="514"/>
      <c r="P56" s="376"/>
      <c r="Q56" s="1361"/>
      <c r="R56" s="376"/>
      <c r="S56" s="1339"/>
      <c r="T56" s="1342" t="s">
        <v>168</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180</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27">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64.5">
      <c r="O60" s="533"/>
      <c r="P60" s="1320"/>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row>
    <row customHeight="1" ht="18">
      <c r="O62" s="533"/>
      <c r="P62" s="1345"/>
      <c r="S62" s="1260"/>
      <c r="T62" s="2088"/>
      <c r="U62" s="2088"/>
      <c r="V62" s="2088"/>
      <c r="W62" s="2088"/>
      <c r="X62" s="2088"/>
      <c r="Y62" s="2088"/>
      <c r="Z62" s="2088"/>
      <c r="AA62" s="2088"/>
      <c r="AB62" s="2088"/>
      <c r="AC62" s="2088"/>
      <c r="AD62" s="2088"/>
      <c r="AE62" s="2088"/>
      <c r="AF62" s="2088"/>
      <c r="AG62" s="2088"/>
      <c r="AH62" s="2088"/>
      <c r="AI62" s="2088"/>
      <c r="AJ62" s="2088"/>
      <c r="AK62" s="2088"/>
      <c r="AL62" s="2088"/>
      <c r="AM62" s="2088"/>
    </row>
    <row customHeight="1" ht="18">
      <c r="O63" s="533"/>
      <c r="P63" s="1345"/>
      <c r="T63" s="2088"/>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27.75">
      <c r="O64" s="533"/>
      <c r="P64" s="1345"/>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74AFFB-182B-EE6A-0878-88AC809C3FD2}" mc:Ignorable="x14ac xr xr2 xr3">
  <sheetPr>
    <tabColor theme="6" tint="0.4"/>
  </sheetPr>
  <dimension ref="A1:CV96"/>
  <sheetViews>
    <sheetView topLeftCell="P69" showGridLines="0" zoomScale="70" workbookViewId="0">
      <selection activeCell="AD79" sqref="AD79:CP79"/>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17.75390625" customWidth="1"/>
    <col min="31" max="31" style="1660" width="0" customWidth="1"/>
    <col min="32" max="32" style="1660" width="5.1015625" customWidth="1"/>
    <col min="33" max="33" style="1660" width="3.26171875" customWidth="1"/>
    <col min="34" max="34" style="1660" width="11.7109375" customWidth="1"/>
    <col min="35" max="35" style="1660" width="3.7109375" customWidth="1"/>
    <col min="36" max="36" style="1660" width="11.7109375" customWidth="1"/>
    <col min="37" max="37" style="1660" width="8.57421875" customWidth="1"/>
    <col min="39" max="39" width="2.2421875" customWidth="1"/>
    <col min="40" max="40" width="3.0625" customWidth="1"/>
    <col min="41" max="41" width="3.87109375" customWidth="1"/>
    <col min="47" max="47" width="2.8515625" customWidth="1"/>
    <col min="48" max="48" width="3.87109375" customWidth="1"/>
    <col min="49" max="49" width="3.47265625" customWidth="1"/>
    <col min="55" max="55" width="4.69140625" customWidth="1"/>
    <col min="56" max="56" width="4.890625" customWidth="1"/>
    <col min="57" max="57" width="3.87109375" customWidth="1"/>
    <col min="63" max="63" width="1.83203125" customWidth="1"/>
    <col min="64" max="64" width="3.26171875" customWidth="1"/>
    <col min="65" max="65" width="5.7109375" customWidth="1"/>
    <col min="66" max="66" width="9.79296875" customWidth="1"/>
    <col min="71" max="71" width="4.890625" customWidth="1"/>
    <col min="72" max="72" width="4.28125" customWidth="1"/>
    <col min="73" max="73" width="3.87109375" customWidth="1"/>
    <col min="79" max="79" width="5.9140625" customWidth="1"/>
    <col min="80" max="80" width="5.30078125" customWidth="1"/>
    <col min="81" max="81" width="3.671875" customWidth="1"/>
    <col min="87" max="87" width="4.69140625" customWidth="1"/>
    <col min="88" max="88" width="5.30078125" customWidth="1"/>
    <col min="89" max="89" width="4.28125" customWidth="1"/>
    <col min="93" max="93" width="10.57421875" hidden="1"/>
    <col min="94" max="94" style="1660" width="4.7109375" customWidth="1"/>
    <col min="95" max="95" style="1660" width="115.7109375" customWidth="1"/>
    <col min="96" max="97" style="1667" width="10.57421875"/>
    <col min="98" max="98" style="1667" width="11.140625" customWidth="1"/>
    <col min="99" max="100" style="1667" width="10.57421875"/>
  </cols>
  <sheetData>
    <row customHeight="1" ht="14.25" hidden="1">
      <c r="Y1" s="315"/>
      <c r="Z1" s="315"/>
      <c r="AG1" s="315"/>
      <c r="AH1" s="315"/>
      <c r="AL1" s="1660"/>
      <c r="AM1" s="1660"/>
      <c r="AN1" s="1660"/>
      <c r="AO1" s="1660"/>
      <c r="AP1" s="1660"/>
      <c r="AQ1" s="1660"/>
      <c r="AR1" s="1660"/>
      <c r="AS1" s="1660"/>
      <c r="AT1" s="1660"/>
      <c r="AU1" s="1660"/>
      <c r="AV1" s="1660"/>
      <c r="AW1" s="1660"/>
      <c r="AX1" s="1660"/>
      <c r="AY1" s="1660"/>
      <c r="AZ1" s="1660"/>
      <c r="BA1" s="1660"/>
      <c r="BB1" s="1660"/>
      <c r="BC1" s="1660"/>
      <c r="BD1" s="1660"/>
      <c r="BE1" s="1660"/>
      <c r="BF1" s="1660"/>
      <c r="BG1" s="1660"/>
      <c r="BH1" s="1660"/>
      <c r="BI1" s="1660"/>
      <c r="BJ1" s="1660"/>
      <c r="BK1" s="1660"/>
      <c r="BL1" s="1660"/>
      <c r="BM1" s="1660"/>
      <c r="BN1" s="1660"/>
      <c r="BO1" s="1660"/>
      <c r="BP1" s="1660"/>
      <c r="BQ1" s="1660"/>
      <c r="BR1" s="1660"/>
      <c r="BS1" s="1660"/>
      <c r="BT1" s="1660"/>
      <c r="BU1" s="1660"/>
      <c r="BV1" s="1660"/>
      <c r="BW1" s="1660"/>
      <c r="BX1" s="1660"/>
      <c r="BY1" s="1660"/>
      <c r="BZ1" s="1660"/>
      <c r="CA1" s="1660"/>
      <c r="CB1" s="1660"/>
      <c r="CC1" s="1660"/>
      <c r="CD1" s="1660"/>
      <c r="CE1" s="1660"/>
      <c r="CF1" s="1660"/>
      <c r="CG1" s="1660"/>
      <c r="CH1" s="1660"/>
      <c r="CI1" s="1660"/>
      <c r="CJ1" s="1660"/>
      <c r="CK1" s="1660"/>
      <c r="CL1" s="1660"/>
      <c r="CM1" s="1660"/>
      <c r="CN1" s="1660"/>
      <c r="CO1" s="1660"/>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122</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3"/>
      <c r="AM2" s="2084"/>
      <c r="AN2" s="2084"/>
      <c r="AO2" s="2084"/>
      <c r="AP2" s="2084"/>
      <c r="AQ2" s="2084"/>
      <c r="AR2" s="2084"/>
      <c r="AS2" s="2085"/>
      <c r="AT2" s="2083"/>
      <c r="AU2" s="2084"/>
      <c r="AV2" s="2084"/>
      <c r="AW2" s="2084"/>
      <c r="AX2" s="2084"/>
      <c r="AY2" s="2084"/>
      <c r="AZ2" s="2084"/>
      <c r="BA2" s="2085"/>
      <c r="BB2" s="2083"/>
      <c r="BC2" s="2084"/>
      <c r="BD2" s="2084"/>
      <c r="BE2" s="2084"/>
      <c r="BF2" s="2084"/>
      <c r="BG2" s="2084"/>
      <c r="BH2" s="2084"/>
      <c r="BI2" s="2085"/>
      <c r="BJ2" s="2083"/>
      <c r="BK2" s="2084"/>
      <c r="BL2" s="2084"/>
      <c r="BM2" s="2084"/>
      <c r="BN2" s="2084"/>
      <c r="BO2" s="2084"/>
      <c r="BP2" s="2084"/>
      <c r="BQ2" s="2085"/>
      <c r="BR2" s="2083"/>
      <c r="BS2" s="2084"/>
      <c r="BT2" s="2084"/>
      <c r="BU2" s="2084"/>
      <c r="BV2" s="2084"/>
      <c r="BW2" s="2084"/>
      <c r="BX2" s="2084"/>
      <c r="BY2" s="2085"/>
      <c r="BZ2" s="2083"/>
      <c r="CA2" s="2084"/>
      <c r="CB2" s="2084"/>
      <c r="CC2" s="2084"/>
      <c r="CD2" s="2084"/>
      <c r="CE2" s="2084"/>
      <c r="CF2" s="2084"/>
      <c r="CG2" s="2085"/>
      <c r="CH2" s="2083"/>
      <c r="CI2" s="2084"/>
      <c r="CJ2" s="2084"/>
      <c r="CK2" s="2084"/>
      <c r="CL2" s="2084"/>
      <c r="CM2" s="2084"/>
      <c r="CN2" s="2084"/>
      <c r="CO2" s="2085"/>
      <c r="CP2" s="2085"/>
      <c r="CQ2" s="1273" t="s">
        <v>403</v>
      </c>
      <c r="CS2" s="496"/>
      <c r="CT2" s="496" t="str">
        <f>IF(T2="","",T2)</f>
        <v>Наименование тарифа</v>
      </c>
      <c r="CU2" s="496"/>
      <c r="CV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404</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3"/>
      <c r="AM3" s="2084"/>
      <c r="AN3" s="2084"/>
      <c r="AO3" s="2084"/>
      <c r="AP3" s="2084"/>
      <c r="AQ3" s="2084"/>
      <c r="AR3" s="2084"/>
      <c r="AS3" s="2085"/>
      <c r="AT3" s="2083"/>
      <c r="AU3" s="2084"/>
      <c r="AV3" s="2084"/>
      <c r="AW3" s="2084"/>
      <c r="AX3" s="2084"/>
      <c r="AY3" s="2084"/>
      <c r="AZ3" s="2084"/>
      <c r="BA3" s="2085"/>
      <c r="BB3" s="2083"/>
      <c r="BC3" s="2084"/>
      <c r="BD3" s="2084"/>
      <c r="BE3" s="2084"/>
      <c r="BF3" s="2084"/>
      <c r="BG3" s="2084"/>
      <c r="BH3" s="2084"/>
      <c r="BI3" s="2085"/>
      <c r="BJ3" s="2083"/>
      <c r="BK3" s="2084"/>
      <c r="BL3" s="2084"/>
      <c r="BM3" s="2084"/>
      <c r="BN3" s="2084"/>
      <c r="BO3" s="2084"/>
      <c r="BP3" s="2084"/>
      <c r="BQ3" s="2085"/>
      <c r="BR3" s="2083"/>
      <c r="BS3" s="2084"/>
      <c r="BT3" s="2084"/>
      <c r="BU3" s="2084"/>
      <c r="BV3" s="2084"/>
      <c r="BW3" s="2084"/>
      <c r="BX3" s="2084"/>
      <c r="BY3" s="2085"/>
      <c r="BZ3" s="2083"/>
      <c r="CA3" s="2084"/>
      <c r="CB3" s="2084"/>
      <c r="CC3" s="2084"/>
      <c r="CD3" s="2084"/>
      <c r="CE3" s="2084"/>
      <c r="CF3" s="2084"/>
      <c r="CG3" s="2085"/>
      <c r="CH3" s="2083"/>
      <c r="CI3" s="2084"/>
      <c r="CJ3" s="2084"/>
      <c r="CK3" s="2084"/>
      <c r="CL3" s="2084"/>
      <c r="CM3" s="2084"/>
      <c r="CN3" s="2084"/>
      <c r="CO3" s="2085"/>
      <c r="CP3" s="2085"/>
      <c r="CQ3" s="1273" t="s">
        <v>405</v>
      </c>
      <c r="CS3" s="496"/>
      <c r="CT3" s="496" t="str">
        <f>IF(T3="","",T3)</f>
        <v>Территория действия тарифа</v>
      </c>
      <c r="CU3" s="496"/>
      <c r="CV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406</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3"/>
      <c r="AM4" s="2084"/>
      <c r="AN4" s="2084"/>
      <c r="AO4" s="2084"/>
      <c r="AP4" s="2084"/>
      <c r="AQ4" s="2084"/>
      <c r="AR4" s="2084"/>
      <c r="AS4" s="2085"/>
      <c r="AT4" s="2083"/>
      <c r="AU4" s="2084"/>
      <c r="AV4" s="2084"/>
      <c r="AW4" s="2084"/>
      <c r="AX4" s="2084"/>
      <c r="AY4" s="2084"/>
      <c r="AZ4" s="2084"/>
      <c r="BA4" s="2085"/>
      <c r="BB4" s="2083"/>
      <c r="BC4" s="2084"/>
      <c r="BD4" s="2084"/>
      <c r="BE4" s="2084"/>
      <c r="BF4" s="2084"/>
      <c r="BG4" s="2084"/>
      <c r="BH4" s="2084"/>
      <c r="BI4" s="2085"/>
      <c r="BJ4" s="2083"/>
      <c r="BK4" s="2084"/>
      <c r="BL4" s="2084"/>
      <c r="BM4" s="2084"/>
      <c r="BN4" s="2084"/>
      <c r="BO4" s="2084"/>
      <c r="BP4" s="2084"/>
      <c r="BQ4" s="2085"/>
      <c r="BR4" s="2083"/>
      <c r="BS4" s="2084"/>
      <c r="BT4" s="2084"/>
      <c r="BU4" s="2084"/>
      <c r="BV4" s="2084"/>
      <c r="BW4" s="2084"/>
      <c r="BX4" s="2084"/>
      <c r="BY4" s="2085"/>
      <c r="BZ4" s="2083"/>
      <c r="CA4" s="2084"/>
      <c r="CB4" s="2084"/>
      <c r="CC4" s="2084"/>
      <c r="CD4" s="2084"/>
      <c r="CE4" s="2084"/>
      <c r="CF4" s="2084"/>
      <c r="CG4" s="2085"/>
      <c r="CH4" s="2083"/>
      <c r="CI4" s="2084"/>
      <c r="CJ4" s="2084"/>
      <c r="CK4" s="2084"/>
      <c r="CL4" s="2084"/>
      <c r="CM4" s="2084"/>
      <c r="CN4" s="2084"/>
      <c r="CO4" s="2085"/>
      <c r="CP4" s="2085"/>
      <c r="CQ4" s="1273" t="s">
        <v>407</v>
      </c>
      <c r="CS4" s="496"/>
      <c r="CT4" s="496" t="str">
        <f>IF(T4="","",T4)</f>
        <v>Наименование системы теплоснабжения </v>
      </c>
      <c r="CU4" s="496"/>
      <c r="CV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408</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3"/>
      <c r="AM5" s="2084"/>
      <c r="AN5" s="2084"/>
      <c r="AO5" s="2084"/>
      <c r="AP5" s="2084"/>
      <c r="AQ5" s="2084"/>
      <c r="AR5" s="2084"/>
      <c r="AS5" s="2085"/>
      <c r="AT5" s="2083"/>
      <c r="AU5" s="2084"/>
      <c r="AV5" s="2084"/>
      <c r="AW5" s="2084"/>
      <c r="AX5" s="2084"/>
      <c r="AY5" s="2084"/>
      <c r="AZ5" s="2084"/>
      <c r="BA5" s="2085"/>
      <c r="BB5" s="2083"/>
      <c r="BC5" s="2084"/>
      <c r="BD5" s="2084"/>
      <c r="BE5" s="2084"/>
      <c r="BF5" s="2084"/>
      <c r="BG5" s="2084"/>
      <c r="BH5" s="2084"/>
      <c r="BI5" s="2085"/>
      <c r="BJ5" s="2083"/>
      <c r="BK5" s="2084"/>
      <c r="BL5" s="2084"/>
      <c r="BM5" s="2084"/>
      <c r="BN5" s="2084"/>
      <c r="BO5" s="2084"/>
      <c r="BP5" s="2084"/>
      <c r="BQ5" s="2085"/>
      <c r="BR5" s="2083"/>
      <c r="BS5" s="2084"/>
      <c r="BT5" s="2084"/>
      <c r="BU5" s="2084"/>
      <c r="BV5" s="2084"/>
      <c r="BW5" s="2084"/>
      <c r="BX5" s="2084"/>
      <c r="BY5" s="2085"/>
      <c r="BZ5" s="2083"/>
      <c r="CA5" s="2084"/>
      <c r="CB5" s="2084"/>
      <c r="CC5" s="2084"/>
      <c r="CD5" s="2084"/>
      <c r="CE5" s="2084"/>
      <c r="CF5" s="2084"/>
      <c r="CG5" s="2085"/>
      <c r="CH5" s="2083"/>
      <c r="CI5" s="2084"/>
      <c r="CJ5" s="2084"/>
      <c r="CK5" s="2084"/>
      <c r="CL5" s="2084"/>
      <c r="CM5" s="2084"/>
      <c r="CN5" s="2084"/>
      <c r="CO5" s="2085"/>
      <c r="CP5" s="2085"/>
      <c r="CQ5" s="1273" t="s">
        <v>409</v>
      </c>
      <c r="CS5" s="496"/>
      <c r="CT5" s="496" t="str">
        <f>IF(T5="","",T5)</f>
        <v>Источник тепловой энергии  </v>
      </c>
      <c r="CU5" s="496"/>
      <c r="CV5" s="496"/>
    </row>
    <row customHeight="1" ht="47.25" hidden="1">
      <c r="A6" s="1380"/>
      <c r="B6" s="1380"/>
      <c r="C6" s="1380"/>
      <c r="D6" s="1380"/>
      <c r="E6" s="2090"/>
      <c r="F6" s="2090"/>
      <c r="G6" s="2090"/>
      <c r="H6" s="2090"/>
      <c r="I6" s="2091">
        <f>S5&amp;".1"</f>
      </c>
      <c r="J6" s="1380"/>
      <c r="K6" s="1380"/>
      <c r="L6" s="1381" t="s">
        <v>410</v>
      </c>
      <c r="M6" s="533"/>
      <c r="P6" s="2093">
        <v>1</v>
      </c>
      <c r="Q6" s="1348"/>
      <c r="R6" s="344"/>
      <c r="S6" s="1353">
        <f>$I6</f>
      </c>
      <c r="T6" s="266" t="s">
        <v>411</v>
      </c>
      <c r="U6" s="280"/>
      <c r="V6" s="2077"/>
      <c r="W6" s="2078"/>
      <c r="X6" s="2078"/>
      <c r="Y6" s="2078"/>
      <c r="Z6" s="2078"/>
      <c r="AA6" s="2078"/>
      <c r="AB6" s="2078"/>
      <c r="AC6" s="2079"/>
      <c r="AD6" s="2077"/>
      <c r="AE6" s="2078"/>
      <c r="AF6" s="2078"/>
      <c r="AG6" s="2078"/>
      <c r="AH6" s="2078"/>
      <c r="AI6" s="2078"/>
      <c r="AJ6" s="2078"/>
      <c r="AK6" s="2078"/>
      <c r="AL6" s="2077"/>
      <c r="AM6" s="2078"/>
      <c r="AN6" s="2078"/>
      <c r="AO6" s="2078"/>
      <c r="AP6" s="2078"/>
      <c r="AQ6" s="2078"/>
      <c r="AR6" s="2078"/>
      <c r="AS6" s="2079"/>
      <c r="AT6" s="2077"/>
      <c r="AU6" s="2078"/>
      <c r="AV6" s="2078"/>
      <c r="AW6" s="2078"/>
      <c r="AX6" s="2078"/>
      <c r="AY6" s="2078"/>
      <c r="AZ6" s="2078"/>
      <c r="BA6" s="2079"/>
      <c r="BB6" s="2077"/>
      <c r="BC6" s="2078"/>
      <c r="BD6" s="2078"/>
      <c r="BE6" s="2078"/>
      <c r="BF6" s="2078"/>
      <c r="BG6" s="2078"/>
      <c r="BH6" s="2078"/>
      <c r="BI6" s="2079"/>
      <c r="BJ6" s="2077"/>
      <c r="BK6" s="2078"/>
      <c r="BL6" s="2078"/>
      <c r="BM6" s="2078"/>
      <c r="BN6" s="2078"/>
      <c r="BO6" s="2078"/>
      <c r="BP6" s="2078"/>
      <c r="BQ6" s="2079"/>
      <c r="BR6" s="2077"/>
      <c r="BS6" s="2078"/>
      <c r="BT6" s="2078"/>
      <c r="BU6" s="2078"/>
      <c r="BV6" s="2078"/>
      <c r="BW6" s="2078"/>
      <c r="BX6" s="2078"/>
      <c r="BY6" s="2079"/>
      <c r="BZ6" s="2077"/>
      <c r="CA6" s="2078"/>
      <c r="CB6" s="2078"/>
      <c r="CC6" s="2078"/>
      <c r="CD6" s="2078"/>
      <c r="CE6" s="2078"/>
      <c r="CF6" s="2078"/>
      <c r="CG6" s="2079"/>
      <c r="CH6" s="2077"/>
      <c r="CI6" s="2078"/>
      <c r="CJ6" s="2078"/>
      <c r="CK6" s="2078"/>
      <c r="CL6" s="2078"/>
      <c r="CM6" s="2078"/>
      <c r="CN6" s="2078"/>
      <c r="CO6" s="2079"/>
      <c r="CP6" s="2079"/>
      <c r="CQ6" s="1273" t="s">
        <v>412</v>
      </c>
      <c r="CS6" s="496"/>
      <c r="CT6" s="496" t="str">
        <f>IF(T6="","",T6)</f>
        <v>Схема подключения теплопотребляющей установки к коллектору источника тепловой энергии</v>
      </c>
      <c r="CU6" s="496"/>
      <c r="CV6" s="496"/>
    </row>
    <row customHeight="1" ht="21" hidden="1">
      <c r="A7" s="1380"/>
      <c r="B7" s="1380"/>
      <c r="C7" s="1380"/>
      <c r="D7" s="1380"/>
      <c r="E7" s="2090"/>
      <c r="F7" s="2090"/>
      <c r="G7" s="2090"/>
      <c r="H7" s="2090"/>
      <c r="I7" s="2092"/>
      <c r="J7" s="2091">
        <f>I6&amp;".1"</f>
      </c>
      <c r="K7" s="1380"/>
      <c r="L7" s="1381" t="s">
        <v>413</v>
      </c>
      <c r="M7" s="533"/>
      <c r="N7" s="1383"/>
      <c r="P7" s="2093"/>
      <c r="Q7" s="2093">
        <v>1</v>
      </c>
      <c r="R7" s="345"/>
      <c r="S7" s="1353">
        <f>$J7</f>
      </c>
      <c r="T7" s="267" t="s">
        <v>414</v>
      </c>
      <c r="U7" s="280"/>
      <c r="V7" s="2077"/>
      <c r="W7" s="2078"/>
      <c r="X7" s="2078"/>
      <c r="Y7" s="2078"/>
      <c r="Z7" s="2078"/>
      <c r="AA7" s="2078"/>
      <c r="AB7" s="2078"/>
      <c r="AC7" s="2079"/>
      <c r="AD7" s="2077"/>
      <c r="AE7" s="2078"/>
      <c r="AF7" s="2078"/>
      <c r="AG7" s="2078"/>
      <c r="AH7" s="2078"/>
      <c r="AI7" s="2078"/>
      <c r="AJ7" s="2078"/>
      <c r="AK7" s="2078"/>
      <c r="AL7" s="2077"/>
      <c r="AM7" s="2078"/>
      <c r="AN7" s="2078"/>
      <c r="AO7" s="2078"/>
      <c r="AP7" s="2078"/>
      <c r="AQ7" s="2078"/>
      <c r="AR7" s="2078"/>
      <c r="AS7" s="2079"/>
      <c r="AT7" s="2077"/>
      <c r="AU7" s="2078"/>
      <c r="AV7" s="2078"/>
      <c r="AW7" s="2078"/>
      <c r="AX7" s="2078"/>
      <c r="AY7" s="2078"/>
      <c r="AZ7" s="2078"/>
      <c r="BA7" s="2079"/>
      <c r="BB7" s="2077"/>
      <c r="BC7" s="2078"/>
      <c r="BD7" s="2078"/>
      <c r="BE7" s="2078"/>
      <c r="BF7" s="2078"/>
      <c r="BG7" s="2078"/>
      <c r="BH7" s="2078"/>
      <c r="BI7" s="2079"/>
      <c r="BJ7" s="2077"/>
      <c r="BK7" s="2078"/>
      <c r="BL7" s="2078"/>
      <c r="BM7" s="2078"/>
      <c r="BN7" s="2078"/>
      <c r="BO7" s="2078"/>
      <c r="BP7" s="2078"/>
      <c r="BQ7" s="2079"/>
      <c r="BR7" s="2077"/>
      <c r="BS7" s="2078"/>
      <c r="BT7" s="2078"/>
      <c r="BU7" s="2078"/>
      <c r="BV7" s="2078"/>
      <c r="BW7" s="2078"/>
      <c r="BX7" s="2078"/>
      <c r="BY7" s="2079"/>
      <c r="BZ7" s="2077"/>
      <c r="CA7" s="2078"/>
      <c r="CB7" s="2078"/>
      <c r="CC7" s="2078"/>
      <c r="CD7" s="2078"/>
      <c r="CE7" s="2078"/>
      <c r="CF7" s="2078"/>
      <c r="CG7" s="2079"/>
      <c r="CH7" s="2077"/>
      <c r="CI7" s="2078"/>
      <c r="CJ7" s="2078"/>
      <c r="CK7" s="2078"/>
      <c r="CL7" s="2078"/>
      <c r="CM7" s="2078"/>
      <c r="CN7" s="2078"/>
      <c r="CO7" s="2079"/>
      <c r="CP7" s="2079"/>
      <c r="CQ7" s="1273" t="s">
        <v>415</v>
      </c>
      <c r="CS7" s="496"/>
      <c r="CT7" s="496" t="str">
        <f>IF(T7="","",T7)</f>
        <v>Группа потребителей</v>
      </c>
      <c r="CU7" s="496"/>
      <c r="CV7" s="496"/>
    </row>
    <row customHeight="1" ht="21" hidden="1">
      <c r="A8" s="1380"/>
      <c r="B8" s="1380"/>
      <c r="C8" s="1380"/>
      <c r="D8" s="1380"/>
      <c r="E8" s="2090"/>
      <c r="F8" s="2090"/>
      <c r="G8" s="2090"/>
      <c r="H8" s="2090"/>
      <c r="I8" s="2092"/>
      <c r="J8" s="2092"/>
      <c r="K8" s="2091">
        <f>J7&amp;".1"</f>
      </c>
      <c r="L8" s="1381" t="s">
        <v>416</v>
      </c>
      <c r="M8" s="533"/>
      <c r="N8" s="1383"/>
      <c r="O8" s="1383"/>
      <c r="P8" s="2093"/>
      <c r="Q8" s="2093"/>
      <c r="R8" s="345">
        <v>1</v>
      </c>
      <c r="S8" s="1353">
        <f>$K8</f>
      </c>
      <c r="T8" s="1364"/>
      <c r="U8" s="280"/>
      <c r="V8" s="746"/>
      <c r="W8" s="312"/>
      <c r="X8" s="746"/>
      <c r="Y8" s="1272"/>
      <c r="Z8" s="2094"/>
      <c r="AA8" s="1963" t="s">
        <v>66</v>
      </c>
      <c r="AB8" s="2094"/>
      <c r="AC8" s="1963" t="s">
        <v>66</v>
      </c>
      <c r="AD8" s="746"/>
      <c r="AE8" s="312"/>
      <c r="AF8" s="746"/>
      <c r="AG8" s="1272"/>
      <c r="AH8" s="2094"/>
      <c r="AI8" s="1963" t="s">
        <v>66</v>
      </c>
      <c r="AJ8" s="2094"/>
      <c r="AK8" s="1963" t="s">
        <v>66</v>
      </c>
      <c r="AL8" s="746"/>
      <c r="AM8" s="312"/>
      <c r="AN8" s="746"/>
      <c r="AO8" s="1272"/>
      <c r="AP8" s="2425"/>
      <c r="AQ8" s="1963" t="s">
        <v>66</v>
      </c>
      <c r="AR8" s="2425"/>
      <c r="AS8" s="1963" t="s">
        <v>66</v>
      </c>
      <c r="AT8" s="746"/>
      <c r="AU8" s="312"/>
      <c r="AV8" s="746"/>
      <c r="AW8" s="1272"/>
      <c r="AX8" s="2425"/>
      <c r="AY8" s="1963" t="s">
        <v>66</v>
      </c>
      <c r="AZ8" s="2425"/>
      <c r="BA8" s="1963" t="s">
        <v>66</v>
      </c>
      <c r="BB8" s="746"/>
      <c r="BC8" s="312"/>
      <c r="BD8" s="746"/>
      <c r="BE8" s="1272"/>
      <c r="BF8" s="2425"/>
      <c r="BG8" s="1963" t="s">
        <v>66</v>
      </c>
      <c r="BH8" s="2425"/>
      <c r="BI8" s="1963" t="s">
        <v>66</v>
      </c>
      <c r="BJ8" s="746"/>
      <c r="BK8" s="312"/>
      <c r="BL8" s="746"/>
      <c r="BM8" s="1272"/>
      <c r="BN8" s="2425"/>
      <c r="BO8" s="1963" t="s">
        <v>66</v>
      </c>
      <c r="BP8" s="2425"/>
      <c r="BQ8" s="1963" t="s">
        <v>66</v>
      </c>
      <c r="BR8" s="746"/>
      <c r="BS8" s="312"/>
      <c r="BT8" s="746"/>
      <c r="BU8" s="1272"/>
      <c r="BV8" s="2425"/>
      <c r="BW8" s="1963" t="s">
        <v>66</v>
      </c>
      <c r="BX8" s="2425"/>
      <c r="BY8" s="1963" t="s">
        <v>66</v>
      </c>
      <c r="BZ8" s="746"/>
      <c r="CA8" s="312"/>
      <c r="CB8" s="746"/>
      <c r="CC8" s="1272"/>
      <c r="CD8" s="2425"/>
      <c r="CE8" s="1963" t="s">
        <v>66</v>
      </c>
      <c r="CF8" s="2425"/>
      <c r="CG8" s="1963" t="s">
        <v>66</v>
      </c>
      <c r="CH8" s="746"/>
      <c r="CI8" s="312"/>
      <c r="CJ8" s="746"/>
      <c r="CK8" s="1272"/>
      <c r="CL8" s="2425"/>
      <c r="CM8" s="1963" t="s">
        <v>66</v>
      </c>
      <c r="CN8" s="2425"/>
      <c r="CO8" s="1963" t="s">
        <v>66</v>
      </c>
      <c r="CP8" s="312"/>
      <c r="CQ8" s="2119" t="s">
        <v>417</v>
      </c>
      <c r="CR8" s="507">
        <f>STRCHECKDATE(V9:CP9)</f>
      </c>
      <c r="CS8" s="496"/>
      <c r="CT8" s="496" t="str">
        <f>IF(T8="","",T8)</f>
        <v/>
      </c>
      <c r="CU8" s="496"/>
      <c r="CV8" s="496"/>
    </row>
    <row customHeight="1" ht="0.7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312"/>
      <c r="AN9" s="312"/>
      <c r="AO9" s="316" t="str">
        <f>AP8&amp;"-"&amp;AR8</f>
        <v>-</v>
      </c>
      <c r="AP9" s="2134"/>
      <c r="AQ9" s="1963"/>
      <c r="AR9" s="2134"/>
      <c r="AS9" s="1963"/>
      <c r="AT9" s="312"/>
      <c r="AU9" s="312"/>
      <c r="AV9" s="312"/>
      <c r="AW9" s="316" t="str">
        <f>AX8&amp;"-"&amp;AZ8</f>
        <v>-</v>
      </c>
      <c r="AX9" s="2134"/>
      <c r="AY9" s="1963"/>
      <c r="AZ9" s="2134"/>
      <c r="BA9" s="1963"/>
      <c r="BB9" s="312"/>
      <c r="BC9" s="312"/>
      <c r="BD9" s="312"/>
      <c r="BE9" s="316" t="str">
        <f>BF8&amp;"-"&amp;BH8</f>
        <v>-</v>
      </c>
      <c r="BF9" s="2134"/>
      <c r="BG9" s="1963"/>
      <c r="BH9" s="2134"/>
      <c r="BI9" s="1963"/>
      <c r="BJ9" s="312"/>
      <c r="BK9" s="312"/>
      <c r="BL9" s="312"/>
      <c r="BM9" s="316" t="str">
        <f>BN8&amp;"-"&amp;BP8</f>
        <v>-</v>
      </c>
      <c r="BN9" s="2134"/>
      <c r="BO9" s="1963"/>
      <c r="BP9" s="2134"/>
      <c r="BQ9" s="1963"/>
      <c r="BR9" s="312"/>
      <c r="BS9" s="312"/>
      <c r="BT9" s="312"/>
      <c r="BU9" s="316" t="str">
        <f>BV8&amp;"-"&amp;BX8</f>
        <v>-</v>
      </c>
      <c r="BV9" s="2134"/>
      <c r="BW9" s="1963"/>
      <c r="BX9" s="2134"/>
      <c r="BY9" s="1963"/>
      <c r="BZ9" s="312"/>
      <c r="CA9" s="312"/>
      <c r="CB9" s="312"/>
      <c r="CC9" s="316" t="str">
        <f>CD8&amp;"-"&amp;CF8</f>
        <v>-</v>
      </c>
      <c r="CD9" s="2134"/>
      <c r="CE9" s="1963"/>
      <c r="CF9" s="2134"/>
      <c r="CG9" s="1963"/>
      <c r="CH9" s="312"/>
      <c r="CI9" s="312"/>
      <c r="CJ9" s="312"/>
      <c r="CK9" s="316" t="str">
        <f>CL8&amp;"-"&amp;CN8</f>
        <v>-</v>
      </c>
      <c r="CL9" s="2134"/>
      <c r="CM9" s="1963"/>
      <c r="CN9" s="2134"/>
      <c r="CO9" s="1963"/>
      <c r="CP9" s="312"/>
      <c r="CQ9" s="2120"/>
      <c r="CS9" s="496"/>
      <c r="CT9" s="496" t="str">
        <f>IF(T9="","",T9)</f>
        <v/>
      </c>
      <c r="CU9" s="496"/>
      <c r="CV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9" t="s">
        <v>418</v>
      </c>
      <c r="U10" s="359"/>
      <c r="V10" s="359"/>
      <c r="W10" s="359"/>
      <c r="X10" s="359"/>
      <c r="Y10" s="359"/>
      <c r="Z10" s="359"/>
      <c r="AA10" s="359"/>
      <c r="AB10" s="359"/>
      <c r="AC10" s="359"/>
      <c r="AD10" s="359"/>
      <c r="AE10" s="359"/>
      <c r="AF10" s="359"/>
      <c r="AG10" s="359"/>
      <c r="AH10" s="359"/>
      <c r="AI10" s="359"/>
      <c r="AJ10" s="359"/>
      <c r="AK10" s="359"/>
      <c r="AL10" s="2568"/>
      <c r="AM10" s="2569"/>
      <c r="AN10" s="2570"/>
      <c r="AO10" s="2571"/>
      <c r="AP10" s="2572"/>
      <c r="AQ10" s="2573"/>
      <c r="AR10" s="2574"/>
      <c r="AS10" s="2575"/>
      <c r="AT10" s="2576"/>
      <c r="AU10" s="2577"/>
      <c r="AV10" s="2578"/>
      <c r="AW10" s="2579"/>
      <c r="AX10" s="2580"/>
      <c r="AY10" s="2581"/>
      <c r="AZ10" s="2582"/>
      <c r="BA10" s="2583"/>
      <c r="BB10" s="2584"/>
      <c r="BC10" s="2585"/>
      <c r="BD10" s="2586"/>
      <c r="BE10" s="2587"/>
      <c r="BF10" s="2588"/>
      <c r="BG10" s="2589"/>
      <c r="BH10" s="2590"/>
      <c r="BI10" s="2591"/>
      <c r="BJ10" s="2592"/>
      <c r="BK10" s="2593"/>
      <c r="BL10" s="2594"/>
      <c r="BM10" s="2595"/>
      <c r="BN10" s="2596"/>
      <c r="BO10" s="2597"/>
      <c r="BP10" s="2598"/>
      <c r="BQ10" s="2599"/>
      <c r="BR10" s="2600"/>
      <c r="BS10" s="2601"/>
      <c r="BT10" s="2602"/>
      <c r="BU10" s="2603"/>
      <c r="BV10" s="2604"/>
      <c r="BW10" s="2605"/>
      <c r="BX10" s="2606"/>
      <c r="BY10" s="2607"/>
      <c r="BZ10" s="2608"/>
      <c r="CA10" s="2609"/>
      <c r="CB10" s="2610"/>
      <c r="CC10" s="2611"/>
      <c r="CD10" s="2612"/>
      <c r="CE10" s="2613"/>
      <c r="CF10" s="2614"/>
      <c r="CG10" s="2615"/>
      <c r="CH10" s="2616"/>
      <c r="CI10" s="2617"/>
      <c r="CJ10" s="2618"/>
      <c r="CK10" s="2619"/>
      <c r="CL10" s="2620"/>
      <c r="CM10" s="2621"/>
      <c r="CN10" s="2622"/>
      <c r="CO10" s="2623"/>
      <c r="CP10" s="311"/>
      <c r="CQ10" s="2121"/>
      <c r="CS10" s="496"/>
      <c r="CT10" s="496" t="str">
        <f>IF(T10="","",T10)</f>
        <v>Добавить вид теплоносителя (параметры теплоносителя)</v>
      </c>
      <c r="CU10" s="496"/>
      <c r="CV10" s="496"/>
    </row>
    <row customHeight="1" ht="15" hidden="1">
      <c r="A11" s="1380"/>
      <c r="B11" s="1380"/>
      <c r="C11" s="1380"/>
      <c r="D11" s="1380"/>
      <c r="E11" s="2090"/>
      <c r="F11" s="2090"/>
      <c r="G11" s="2090"/>
      <c r="H11" s="2090"/>
      <c r="I11" s="2091"/>
      <c r="J11" s="1380"/>
      <c r="K11" s="1380"/>
      <c r="L11" s="1381"/>
      <c r="M11" s="533"/>
      <c r="P11" s="2093"/>
      <c r="Q11" s="1348"/>
      <c r="R11" s="344"/>
      <c r="S11" s="1295"/>
      <c r="T11" s="268" t="s">
        <v>419</v>
      </c>
      <c r="U11" s="359"/>
      <c r="V11" s="359"/>
      <c r="W11" s="359"/>
      <c r="X11" s="359"/>
      <c r="Y11" s="359"/>
      <c r="Z11" s="359"/>
      <c r="AA11" s="359"/>
      <c r="AB11" s="359"/>
      <c r="AC11" s="358"/>
      <c r="AD11" s="359"/>
      <c r="AE11" s="359"/>
      <c r="AF11" s="359"/>
      <c r="AG11" s="359"/>
      <c r="AH11" s="359"/>
      <c r="AI11" s="359"/>
      <c r="AJ11" s="359"/>
      <c r="AK11" s="358"/>
      <c r="AL11" s="2624"/>
      <c r="AM11" s="2625"/>
      <c r="AN11" s="2626"/>
      <c r="AO11" s="2627"/>
      <c r="AP11" s="2628"/>
      <c r="AQ11" s="2629"/>
      <c r="AR11" s="2630"/>
      <c r="AS11" s="2631"/>
      <c r="AT11" s="2632"/>
      <c r="AU11" s="2633"/>
      <c r="AV11" s="2634"/>
      <c r="AW11" s="2635"/>
      <c r="AX11" s="2636"/>
      <c r="AY11" s="2637"/>
      <c r="AZ11" s="2638"/>
      <c r="BA11" s="2639"/>
      <c r="BB11" s="2640"/>
      <c r="BC11" s="2641"/>
      <c r="BD11" s="2642"/>
      <c r="BE11" s="2643"/>
      <c r="BF11" s="2644"/>
      <c r="BG11" s="2645"/>
      <c r="BH11" s="2646"/>
      <c r="BI11" s="2647"/>
      <c r="BJ11" s="2648"/>
      <c r="BK11" s="2649"/>
      <c r="BL11" s="2650"/>
      <c r="BM11" s="2651"/>
      <c r="BN11" s="2652"/>
      <c r="BO11" s="2653"/>
      <c r="BP11" s="2654"/>
      <c r="BQ11" s="2655"/>
      <c r="BR11" s="2656"/>
      <c r="BS11" s="2657"/>
      <c r="BT11" s="2658"/>
      <c r="BU11" s="2659"/>
      <c r="BV11" s="2660"/>
      <c r="BW11" s="2661"/>
      <c r="BX11" s="2662"/>
      <c r="BY11" s="2663"/>
      <c r="BZ11" s="2664"/>
      <c r="CA11" s="2665"/>
      <c r="CB11" s="2666"/>
      <c r="CC11" s="2667"/>
      <c r="CD11" s="2668"/>
      <c r="CE11" s="2669"/>
      <c r="CF11" s="2670"/>
      <c r="CG11" s="2671"/>
      <c r="CH11" s="2672"/>
      <c r="CI11" s="2673"/>
      <c r="CJ11" s="2674"/>
      <c r="CK11" s="2675"/>
      <c r="CL11" s="2676"/>
      <c r="CM11" s="2677"/>
      <c r="CN11" s="2678"/>
      <c r="CO11" s="2679"/>
      <c r="CP11" s="359"/>
      <c r="CQ11" s="283"/>
      <c r="CS11" s="496"/>
      <c r="CT11" s="496" t="str">
        <f>IF(T11="","",T11)</f>
        <v>Добавить группу потребителей</v>
      </c>
      <c r="CU11" s="496"/>
      <c r="CV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295"/>
      <c r="T12" s="356" t="s">
        <v>420</v>
      </c>
      <c r="U12" s="359"/>
      <c r="V12" s="359"/>
      <c r="W12" s="359"/>
      <c r="X12" s="359"/>
      <c r="Y12" s="359"/>
      <c r="Z12" s="359"/>
      <c r="AA12" s="359"/>
      <c r="AB12" s="359"/>
      <c r="AC12" s="358"/>
      <c r="AD12" s="359"/>
      <c r="AE12" s="359"/>
      <c r="AF12" s="359"/>
      <c r="AG12" s="359"/>
      <c r="AH12" s="359"/>
      <c r="AI12" s="359"/>
      <c r="AJ12" s="359"/>
      <c r="AK12" s="358"/>
      <c r="AL12" s="2680"/>
      <c r="AM12" s="2681"/>
      <c r="AN12" s="2682"/>
      <c r="AO12" s="2683"/>
      <c r="AP12" s="2684"/>
      <c r="AQ12" s="2685"/>
      <c r="AR12" s="2686"/>
      <c r="AS12" s="2687"/>
      <c r="AT12" s="2688"/>
      <c r="AU12" s="2689"/>
      <c r="AV12" s="2690"/>
      <c r="AW12" s="2691"/>
      <c r="AX12" s="2692"/>
      <c r="AY12" s="2693"/>
      <c r="AZ12" s="2694"/>
      <c r="BA12" s="2695"/>
      <c r="BB12" s="2696"/>
      <c r="BC12" s="2697"/>
      <c r="BD12" s="2698"/>
      <c r="BE12" s="2699"/>
      <c r="BF12" s="2700"/>
      <c r="BG12" s="2701"/>
      <c r="BH12" s="2702"/>
      <c r="BI12" s="2703"/>
      <c r="BJ12" s="2704"/>
      <c r="BK12" s="2705"/>
      <c r="BL12" s="2706"/>
      <c r="BM12" s="2707"/>
      <c r="BN12" s="2708"/>
      <c r="BO12" s="2709"/>
      <c r="BP12" s="2710"/>
      <c r="BQ12" s="2711"/>
      <c r="BR12" s="2712"/>
      <c r="BS12" s="2713"/>
      <c r="BT12" s="2714"/>
      <c r="BU12" s="2715"/>
      <c r="BV12" s="2716"/>
      <c r="BW12" s="2717"/>
      <c r="BX12" s="2718"/>
      <c r="BY12" s="2719"/>
      <c r="BZ12" s="2720"/>
      <c r="CA12" s="2721"/>
      <c r="CB12" s="2722"/>
      <c r="CC12" s="2723"/>
      <c r="CD12" s="2724"/>
      <c r="CE12" s="2725"/>
      <c r="CF12" s="2726"/>
      <c r="CG12" s="2727"/>
      <c r="CH12" s="2728"/>
      <c r="CI12" s="2729"/>
      <c r="CJ12" s="2730"/>
      <c r="CK12" s="2731"/>
      <c r="CL12" s="2732"/>
      <c r="CM12" s="2733"/>
      <c r="CN12" s="2734"/>
      <c r="CO12" s="2735"/>
      <c r="CP12" s="359"/>
      <c r="CQ12" s="283"/>
      <c r="CS12" s="496"/>
      <c r="CT12" s="496" t="str">
        <f>IF(T12="","",T12)</f>
        <v>Добавить схему подключения</v>
      </c>
      <c r="CU12" s="496"/>
      <c r="CV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166</v>
      </c>
      <c r="U13" s="1337"/>
      <c r="V13" s="1337"/>
      <c r="W13" s="1337"/>
      <c r="X13" s="1337"/>
      <c r="Y13" s="1337"/>
      <c r="Z13" s="1337"/>
      <c r="AA13" s="1337"/>
      <c r="AB13" s="1337"/>
      <c r="AC13" s="1337"/>
      <c r="AD13" s="1337"/>
      <c r="AE13" s="1337"/>
      <c r="AF13" s="1337"/>
      <c r="AG13" s="1337"/>
      <c r="AH13" s="1337"/>
      <c r="AI13" s="1337"/>
      <c r="AJ13" s="1337"/>
      <c r="AK13" s="1337"/>
      <c r="AL13" s="1337"/>
      <c r="AM13" s="1337"/>
      <c r="AN13" s="1337"/>
      <c r="AO13" s="1337"/>
      <c r="AP13" s="1337"/>
      <c r="AQ13" s="1337"/>
      <c r="AR13" s="1337"/>
      <c r="AS13" s="1337"/>
      <c r="AT13" s="1337"/>
      <c r="AU13" s="1337"/>
      <c r="AV13" s="1337"/>
      <c r="AW13" s="1337"/>
      <c r="AX13" s="1337"/>
      <c r="AY13" s="1337"/>
      <c r="AZ13" s="1337"/>
      <c r="BA13" s="1337"/>
      <c r="BB13" s="1337"/>
      <c r="BC13" s="1337"/>
      <c r="BD13" s="1337"/>
      <c r="BE13" s="1337"/>
      <c r="BF13" s="1337"/>
      <c r="BG13" s="1337"/>
      <c r="BH13" s="1337"/>
      <c r="BI13" s="1337"/>
      <c r="BJ13" s="1337"/>
      <c r="BK13" s="1337"/>
      <c r="BL13" s="1337"/>
      <c r="BM13" s="1337"/>
      <c r="BN13" s="1337"/>
      <c r="BO13" s="1337"/>
      <c r="BP13" s="1337"/>
      <c r="BQ13" s="1337"/>
      <c r="BR13" s="1337"/>
      <c r="BS13" s="1337"/>
      <c r="BT13" s="1337"/>
      <c r="BU13" s="1337"/>
      <c r="BV13" s="1337"/>
      <c r="BW13" s="1337"/>
      <c r="BX13" s="1337"/>
      <c r="BY13" s="1337"/>
      <c r="BZ13" s="1337"/>
      <c r="CA13" s="1337"/>
      <c r="CB13" s="1337"/>
      <c r="CC13" s="1337"/>
      <c r="CD13" s="1337"/>
      <c r="CE13" s="1337"/>
      <c r="CF13" s="1337"/>
      <c r="CG13" s="1337"/>
      <c r="CH13" s="1337"/>
      <c r="CI13" s="1337"/>
      <c r="CJ13" s="1337"/>
      <c r="CK13" s="1337"/>
      <c r="CL13" s="1337"/>
      <c r="CM13" s="1337"/>
      <c r="CN13" s="1337"/>
      <c r="CO13" s="1337"/>
      <c r="CP13" s="1337"/>
      <c r="CQ13" s="1337"/>
      <c r="CS13" s="783"/>
      <c r="CT13" s="783" t="str">
        <f>IF(T13="","",T13)</f>
        <v>Добавить источник для дифференциации</v>
      </c>
      <c r="CU13" s="783"/>
      <c r="CV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167</v>
      </c>
      <c r="U14" s="1341"/>
      <c r="V14" s="1341"/>
      <c r="W14" s="1341"/>
      <c r="X14" s="1341"/>
      <c r="Y14" s="1341"/>
      <c r="Z14" s="1341"/>
      <c r="AA14" s="1341"/>
      <c r="AB14" s="1341"/>
      <c r="AC14" s="1341"/>
      <c r="AD14" s="1341"/>
      <c r="AE14" s="1341"/>
      <c r="AF14" s="1341"/>
      <c r="AG14" s="1341"/>
      <c r="AH14" s="1341"/>
      <c r="AI14" s="1341"/>
      <c r="AJ14" s="1341"/>
      <c r="AK14" s="1341"/>
      <c r="AL14" s="1341"/>
      <c r="AM14" s="1341"/>
      <c r="AN14" s="1341"/>
      <c r="AO14" s="1341"/>
      <c r="AP14" s="1341"/>
      <c r="AQ14" s="1341"/>
      <c r="AR14" s="1341"/>
      <c r="AS14" s="1341"/>
      <c r="AT14" s="1341"/>
      <c r="AU14" s="1341"/>
      <c r="AV14" s="1341"/>
      <c r="AW14" s="1341"/>
      <c r="AX14" s="1341"/>
      <c r="AY14" s="1341"/>
      <c r="AZ14" s="1341"/>
      <c r="BA14" s="1341"/>
      <c r="BB14" s="1341"/>
      <c r="BC14" s="1341"/>
      <c r="BD14" s="1341"/>
      <c r="BE14" s="1341"/>
      <c r="BF14" s="1341"/>
      <c r="BG14" s="1341"/>
      <c r="BH14" s="1341"/>
      <c r="BI14" s="1341"/>
      <c r="BJ14" s="1341"/>
      <c r="BK14" s="1341"/>
      <c r="BL14" s="1341"/>
      <c r="BM14" s="1341"/>
      <c r="BN14" s="1341"/>
      <c r="BO14" s="1341"/>
      <c r="BP14" s="1341"/>
      <c r="BQ14" s="1341"/>
      <c r="BR14" s="1341"/>
      <c r="BS14" s="1341"/>
      <c r="BT14" s="1341"/>
      <c r="BU14" s="1341"/>
      <c r="BV14" s="1341"/>
      <c r="BW14" s="1341"/>
      <c r="BX14" s="1341"/>
      <c r="BY14" s="1341"/>
      <c r="BZ14" s="1341"/>
      <c r="CA14" s="1341"/>
      <c r="CB14" s="1341"/>
      <c r="CC14" s="1341"/>
      <c r="CD14" s="1341"/>
      <c r="CE14" s="1341"/>
      <c r="CF14" s="1341"/>
      <c r="CG14" s="1341"/>
      <c r="CH14" s="1341"/>
      <c r="CI14" s="1341"/>
      <c r="CJ14" s="1341"/>
      <c r="CK14" s="1341"/>
      <c r="CL14" s="1341"/>
      <c r="CM14" s="1341"/>
      <c r="CN14" s="1341"/>
      <c r="CO14" s="1341"/>
      <c r="CP14" s="1341"/>
      <c r="CQ14" s="1341"/>
      <c r="CS14" s="783"/>
      <c r="CT14" s="783" t="str">
        <f>IF(T14="","",T14)</f>
        <v>Добавить централизованную систему для дифференциации</v>
      </c>
      <c r="CU14" s="783"/>
      <c r="CV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168</v>
      </c>
      <c r="U15" s="1341"/>
      <c r="V15" s="1341"/>
      <c r="W15" s="1341"/>
      <c r="X15" s="1341"/>
      <c r="Y15" s="1341"/>
      <c r="Z15" s="1341"/>
      <c r="AA15" s="1341"/>
      <c r="AB15" s="1341"/>
      <c r="AC15" s="1341"/>
      <c r="AD15" s="1341"/>
      <c r="AE15" s="1341"/>
      <c r="AF15" s="1341"/>
      <c r="AG15" s="1341"/>
      <c r="AH15" s="1341"/>
      <c r="AI15" s="1341"/>
      <c r="AJ15" s="1341"/>
      <c r="AK15" s="1341"/>
      <c r="AL15" s="1341"/>
      <c r="AM15" s="1341"/>
      <c r="AN15" s="1341"/>
      <c r="AO15" s="1341"/>
      <c r="AP15" s="1341"/>
      <c r="AQ15" s="1341"/>
      <c r="AR15" s="1341"/>
      <c r="AS15" s="1341"/>
      <c r="AT15" s="1341"/>
      <c r="AU15" s="1341"/>
      <c r="AV15" s="1341"/>
      <c r="AW15" s="1341"/>
      <c r="AX15" s="1341"/>
      <c r="AY15" s="1341"/>
      <c r="AZ15" s="1341"/>
      <c r="BA15" s="1341"/>
      <c r="BB15" s="1341"/>
      <c r="BC15" s="1341"/>
      <c r="BD15" s="1341"/>
      <c r="BE15" s="1341"/>
      <c r="BF15" s="1341"/>
      <c r="BG15" s="1341"/>
      <c r="BH15" s="1341"/>
      <c r="BI15" s="1341"/>
      <c r="BJ15" s="1341"/>
      <c r="BK15" s="1341"/>
      <c r="BL15" s="1341"/>
      <c r="BM15" s="1341"/>
      <c r="BN15" s="1341"/>
      <c r="BO15" s="1341"/>
      <c r="BP15" s="1341"/>
      <c r="BQ15" s="1341"/>
      <c r="BR15" s="1341"/>
      <c r="BS15" s="1341"/>
      <c r="BT15" s="1341"/>
      <c r="BU15" s="1341"/>
      <c r="BV15" s="1341"/>
      <c r="BW15" s="1341"/>
      <c r="BX15" s="1341"/>
      <c r="BY15" s="1341"/>
      <c r="BZ15" s="1341"/>
      <c r="CA15" s="1341"/>
      <c r="CB15" s="1341"/>
      <c r="CC15" s="1341"/>
      <c r="CD15" s="1341"/>
      <c r="CE15" s="1341"/>
      <c r="CF15" s="1341"/>
      <c r="CG15" s="1341"/>
      <c r="CH15" s="1341"/>
      <c r="CI15" s="1341"/>
      <c r="CJ15" s="1341"/>
      <c r="CK15" s="1341"/>
      <c r="CL15" s="1341"/>
      <c r="CM15" s="1341"/>
      <c r="CN15" s="1341"/>
      <c r="CO15" s="1341"/>
      <c r="CP15" s="1341"/>
      <c r="CQ15" s="1341"/>
      <c r="CS15" s="783"/>
      <c r="CT15" s="783" t="str">
        <f>IF(T15="","",T15)</f>
        <v>Добавить территорию для дифференциации</v>
      </c>
      <c r="CU15" s="783"/>
      <c r="CV15" s="783"/>
    </row>
    <row customHeight="1" ht="14.25" hidden="1">
      <c r="AC16" s="315"/>
      <c r="AK16" s="315"/>
      <c r="AL16" s="1660"/>
      <c r="AM16" s="1660"/>
      <c r="AN16" s="1660"/>
      <c r="AO16" s="1660"/>
      <c r="AP16" s="1660"/>
      <c r="AQ16" s="1660"/>
      <c r="AR16" s="1660"/>
      <c r="AS16" s="1660"/>
      <c r="AT16" s="1660"/>
      <c r="AU16" s="1660"/>
      <c r="AV16" s="1660"/>
      <c r="AW16" s="1660"/>
      <c r="AX16" s="1660"/>
      <c r="AY16" s="1660"/>
      <c r="AZ16" s="1660"/>
      <c r="BA16" s="1660"/>
      <c r="BB16" s="1660"/>
      <c r="BC16" s="1660"/>
      <c r="BD16" s="1660"/>
      <c r="BE16" s="1660"/>
      <c r="BF16" s="1660"/>
      <c r="BG16" s="1660"/>
      <c r="BH16" s="1660"/>
      <c r="BI16" s="1660"/>
      <c r="BJ16" s="1660"/>
      <c r="BK16" s="1660"/>
      <c r="BL16" s="1660"/>
      <c r="BM16" s="1660"/>
      <c r="BN16" s="1660"/>
      <c r="BO16" s="1660"/>
      <c r="BP16" s="1660"/>
      <c r="BQ16" s="1660"/>
      <c r="BR16" s="1660"/>
      <c r="BS16" s="1660"/>
      <c r="BT16" s="1660"/>
      <c r="BU16" s="1660"/>
      <c r="BV16" s="1660"/>
      <c r="BW16" s="1660"/>
      <c r="BX16" s="1660"/>
      <c r="BY16" s="1660"/>
      <c r="BZ16" s="1660"/>
      <c r="CA16" s="1660"/>
      <c r="CB16" s="1660"/>
      <c r="CC16" s="1660"/>
      <c r="CD16" s="1660"/>
      <c r="CE16" s="1660"/>
      <c r="CF16" s="1660"/>
      <c r="CG16" s="1660"/>
      <c r="CH16" s="1660"/>
      <c r="CI16" s="1660"/>
      <c r="CJ16" s="1660"/>
      <c r="CK16" s="1660"/>
      <c r="CL16" s="1660"/>
      <c r="CM16" s="1660"/>
      <c r="CN16" s="1660"/>
      <c r="CO16" s="1660"/>
    </row>
    <row customHeight="1" ht="14.25" hidden="1">
      <c r="AD17" s="1377"/>
      <c r="AE17" s="1377"/>
      <c r="AF17" s="1377"/>
      <c r="AG17" s="1378"/>
      <c r="AH17" s="2087"/>
      <c r="AI17" s="2086" t="s">
        <v>66</v>
      </c>
      <c r="AJ17" s="2087"/>
      <c r="AK17" s="2086" t="s">
        <v>66</v>
      </c>
      <c r="AL17" s="1660"/>
      <c r="AM17" s="1660"/>
      <c r="AN17" s="1660"/>
      <c r="AO17" s="1660"/>
      <c r="AP17" s="1660"/>
      <c r="AQ17" s="1660"/>
      <c r="AR17" s="1660"/>
      <c r="AS17" s="1660"/>
      <c r="AT17" s="1660"/>
      <c r="AU17" s="1660"/>
      <c r="AV17" s="1660"/>
      <c r="AW17" s="1660"/>
      <c r="AX17" s="1660"/>
      <c r="AY17" s="1660"/>
      <c r="AZ17" s="1660"/>
      <c r="BA17" s="1660"/>
      <c r="BB17" s="1660"/>
      <c r="BC17" s="1660"/>
      <c r="BD17" s="1660"/>
      <c r="BE17" s="1660"/>
      <c r="BF17" s="1660"/>
      <c r="BG17" s="1660"/>
      <c r="BH17" s="1660"/>
      <c r="BI17" s="1660"/>
      <c r="BJ17" s="1660"/>
      <c r="BK17" s="1660"/>
      <c r="BL17" s="1660"/>
      <c r="BM17" s="1660"/>
      <c r="BN17" s="1660"/>
      <c r="BO17" s="1660"/>
      <c r="BP17" s="1660"/>
      <c r="BQ17" s="1660"/>
      <c r="BR17" s="1660"/>
      <c r="BS17" s="1660"/>
      <c r="BT17" s="1660"/>
      <c r="BU17" s="1660"/>
      <c r="BV17" s="1660"/>
      <c r="BW17" s="1660"/>
      <c r="BX17" s="1660"/>
      <c r="BY17" s="1660"/>
      <c r="BZ17" s="1660"/>
      <c r="CA17" s="1660"/>
      <c r="CB17" s="1660"/>
      <c r="CC17" s="1660"/>
      <c r="CD17" s="1660"/>
      <c r="CE17" s="1660"/>
      <c r="CF17" s="1660"/>
      <c r="CG17" s="1660"/>
      <c r="CH17" s="1660"/>
      <c r="CI17" s="1660"/>
      <c r="CJ17" s="1660"/>
      <c r="CK17" s="1660"/>
      <c r="CL17" s="1660"/>
      <c r="CM17" s="1660"/>
      <c r="CN17" s="1660"/>
      <c r="CO17" s="1660"/>
    </row>
    <row customHeight="1" ht="14.25" hidden="1">
      <c r="AD18" s="1377"/>
      <c r="AE18" s="1377"/>
      <c r="AF18" s="1377"/>
      <c r="AG18" s="316" t="str">
        <f>AH17&amp;"-"&amp;AJ17</f>
        <v>-</v>
      </c>
      <c r="AH18" s="2086"/>
      <c r="AI18" s="2086"/>
      <c r="AJ18" s="2086"/>
      <c r="AK18" s="2086"/>
      <c r="AL18" s="1660"/>
      <c r="AM18" s="1660"/>
      <c r="AN18" s="1660"/>
      <c r="AO18" s="1660"/>
      <c r="AP18" s="1660"/>
      <c r="AQ18" s="1660"/>
      <c r="AR18" s="1660"/>
      <c r="AS18" s="1660"/>
      <c r="AT18" s="1660"/>
      <c r="AU18" s="1660"/>
      <c r="AV18" s="1660"/>
      <c r="AW18" s="1660"/>
      <c r="AX18" s="1660"/>
      <c r="AY18" s="1660"/>
      <c r="AZ18" s="1660"/>
      <c r="BA18" s="1660"/>
      <c r="BB18" s="1660"/>
      <c r="BC18" s="1660"/>
      <c r="BD18" s="1660"/>
      <c r="BE18" s="1660"/>
      <c r="BF18" s="1660"/>
      <c r="BG18" s="1660"/>
      <c r="BH18" s="1660"/>
      <c r="BI18" s="1660"/>
      <c r="BJ18" s="1660"/>
      <c r="BK18" s="1660"/>
      <c r="BL18" s="1660"/>
      <c r="BM18" s="1660"/>
      <c r="BN18" s="1660"/>
      <c r="BO18" s="1660"/>
      <c r="BP18" s="1660"/>
      <c r="BQ18" s="1660"/>
      <c r="BR18" s="1660"/>
      <c r="BS18" s="1660"/>
      <c r="BT18" s="1660"/>
      <c r="BU18" s="1660"/>
      <c r="BV18" s="1660"/>
      <c r="BW18" s="1660"/>
      <c r="BX18" s="1660"/>
      <c r="BY18" s="1660"/>
      <c r="BZ18" s="1660"/>
      <c r="CA18" s="1660"/>
      <c r="CB18" s="1660"/>
      <c r="CC18" s="1660"/>
      <c r="CD18" s="1660"/>
      <c r="CE18" s="1660"/>
      <c r="CF18" s="1660"/>
      <c r="CG18" s="1660"/>
      <c r="CH18" s="1660"/>
      <c r="CI18" s="1660"/>
      <c r="CJ18" s="1660"/>
      <c r="CK18" s="1660"/>
      <c r="CL18" s="1660"/>
      <c r="CM18" s="1660"/>
      <c r="CN18" s="1660"/>
      <c r="CO18" s="1660"/>
    </row>
    <row customHeight="1" ht="14.25" hidden="1">
      <c r="AK19" s="315"/>
      <c r="AL19" s="1660"/>
      <c r="AM19" s="1660"/>
      <c r="AN19" s="1660"/>
      <c r="AO19" s="1660"/>
      <c r="AP19" s="1660"/>
      <c r="AQ19" s="1660"/>
      <c r="AR19" s="1660"/>
      <c r="AS19" s="1660"/>
      <c r="AT19" s="1660"/>
      <c r="AU19" s="1660"/>
      <c r="AV19" s="1660"/>
      <c r="AW19" s="1660"/>
      <c r="AX19" s="1660"/>
      <c r="AY19" s="1660"/>
      <c r="AZ19" s="1660"/>
      <c r="BA19" s="1660"/>
      <c r="BB19" s="1660"/>
      <c r="BC19" s="1660"/>
      <c r="BD19" s="1660"/>
      <c r="BE19" s="1660"/>
      <c r="BF19" s="1660"/>
      <c r="BG19" s="1660"/>
      <c r="BH19" s="1660"/>
      <c r="BI19" s="1660"/>
      <c r="BJ19" s="1660"/>
      <c r="BK19" s="1660"/>
      <c r="BL19" s="1660"/>
      <c r="BM19" s="1660"/>
      <c r="BN19" s="1660"/>
      <c r="BO19" s="1660"/>
      <c r="BP19" s="1660"/>
      <c r="BQ19" s="1660"/>
      <c r="BR19" s="1660"/>
      <c r="BS19" s="1660"/>
      <c r="BT19" s="1660"/>
      <c r="BU19" s="1660"/>
      <c r="BV19" s="1660"/>
      <c r="BW19" s="1660"/>
      <c r="BX19" s="1660"/>
      <c r="BY19" s="1660"/>
      <c r="BZ19" s="1660"/>
      <c r="CA19" s="1660"/>
      <c r="CB19" s="1660"/>
      <c r="CC19" s="1660"/>
      <c r="CD19" s="1660"/>
      <c r="CE19" s="1660"/>
      <c r="CF19" s="1660"/>
      <c r="CG19" s="1660"/>
      <c r="CH19" s="1660"/>
      <c r="CI19" s="1660"/>
      <c r="CJ19" s="1660"/>
      <c r="CK19" s="1660"/>
      <c r="CL19" s="1660"/>
      <c r="CM19" s="1660"/>
      <c r="CN19" s="1660"/>
      <c r="CO19" s="1660"/>
    </row>
    <row s="1383" customFormat="1" customHeight="1" ht="22.5" hidden="1">
      <c r="L20" s="1346"/>
      <c r="M20" s="1379"/>
      <c r="N20" s="1379"/>
      <c r="O20" s="1384" t="s">
        <v>421</v>
      </c>
      <c r="P20" s="1379"/>
      <c r="Q20" s="1388"/>
      <c r="R20" s="1388"/>
      <c r="S20" s="724"/>
      <c r="Z20" s="1384"/>
      <c r="AB20" s="1384"/>
      <c r="AC20" s="1383"/>
      <c r="AH20" s="1384"/>
      <c r="AJ20" s="1384"/>
      <c r="AK20" s="1383"/>
      <c r="AL20" s="1383"/>
      <c r="AM20" s="1383"/>
      <c r="AN20" s="1383"/>
      <c r="AO20" s="1383"/>
      <c r="AP20" s="1384"/>
      <c r="AQ20" s="1383"/>
      <c r="AR20" s="1384"/>
      <c r="AS20" s="1383"/>
      <c r="AT20" s="1383"/>
      <c r="AU20" s="1383"/>
      <c r="AV20" s="1383"/>
      <c r="AW20" s="1383"/>
      <c r="AX20" s="1384"/>
      <c r="AY20" s="1383"/>
      <c r="AZ20" s="1384"/>
      <c r="BA20" s="1383"/>
      <c r="BB20" s="1383"/>
      <c r="BC20" s="1383"/>
      <c r="BD20" s="1383"/>
      <c r="BE20" s="1383"/>
      <c r="BF20" s="1384"/>
      <c r="BG20" s="1383"/>
      <c r="BH20" s="1384"/>
      <c r="BI20" s="1383"/>
      <c r="BJ20" s="1383"/>
      <c r="BK20" s="1383"/>
      <c r="BL20" s="1383"/>
      <c r="BM20" s="1383"/>
      <c r="BN20" s="1384"/>
      <c r="BO20" s="1383"/>
      <c r="BP20" s="1384"/>
      <c r="BQ20" s="1383"/>
      <c r="BR20" s="1383"/>
      <c r="BS20" s="1383"/>
      <c r="BT20" s="1383"/>
      <c r="BU20" s="1383"/>
      <c r="BV20" s="1384"/>
      <c r="BW20" s="1383"/>
      <c r="BX20" s="1384"/>
      <c r="BY20" s="1383"/>
      <c r="BZ20" s="1383"/>
      <c r="CA20" s="1383"/>
      <c r="CB20" s="1383"/>
      <c r="CC20" s="1383"/>
      <c r="CD20" s="1384"/>
      <c r="CE20" s="1383"/>
      <c r="CF20" s="1384"/>
      <c r="CG20" s="1383"/>
      <c r="CH20" s="1383"/>
      <c r="CI20" s="1383"/>
      <c r="CJ20" s="1383"/>
      <c r="CK20" s="1383"/>
      <c r="CL20" s="1384"/>
      <c r="CM20" s="1383"/>
      <c r="CN20" s="1384"/>
      <c r="CO20" s="1383"/>
      <c r="CR20" s="507"/>
      <c r="CS20" s="507"/>
      <c r="CT20" s="507"/>
      <c r="CU20" s="507"/>
      <c r="CV20" s="507"/>
    </row>
    <row s="1383" customFormat="1" customHeight="1" ht="14.25" hidden="1">
      <c r="L21" s="1346"/>
      <c r="M21" s="1379"/>
      <c r="N21" s="1379"/>
      <c r="O21" s="1379"/>
      <c r="P21" s="1379"/>
      <c r="Q21" s="1388"/>
      <c r="R21" s="1388"/>
      <c r="S21" s="724"/>
      <c r="AC21" s="1383"/>
      <c r="AK21" s="1383"/>
      <c r="AL21" s="1383"/>
      <c r="AM21" s="1383"/>
      <c r="AN21" s="1383"/>
      <c r="AO21" s="1383"/>
      <c r="AP21" s="1383"/>
      <c r="AQ21" s="1383"/>
      <c r="AR21" s="1383"/>
      <c r="AS21" s="1383"/>
      <c r="AT21" s="1383"/>
      <c r="AU21" s="1383"/>
      <c r="AV21" s="1383"/>
      <c r="AW21" s="1383"/>
      <c r="AX21" s="1383"/>
      <c r="AY21" s="1383"/>
      <c r="AZ21" s="1383"/>
      <c r="BA21" s="1383"/>
      <c r="BB21" s="1383"/>
      <c r="BC21" s="1383"/>
      <c r="BD21" s="1383"/>
      <c r="BE21" s="1383"/>
      <c r="BF21" s="1383"/>
      <c r="BG21" s="1383"/>
      <c r="BH21" s="1383"/>
      <c r="BI21" s="1383"/>
      <c r="BJ21" s="1383"/>
      <c r="BK21" s="1383"/>
      <c r="BL21" s="1383"/>
      <c r="BM21" s="1383"/>
      <c r="BN21" s="1383"/>
      <c r="BO21" s="1383"/>
      <c r="BP21" s="1383"/>
      <c r="BQ21" s="1383"/>
      <c r="BR21" s="1383"/>
      <c r="BS21" s="1383"/>
      <c r="BT21" s="1383"/>
      <c r="BU21" s="1383"/>
      <c r="BV21" s="1383"/>
      <c r="BW21" s="1383"/>
      <c r="BX21" s="1383"/>
      <c r="BY21" s="1383"/>
      <c r="BZ21" s="1383"/>
      <c r="CA21" s="1383"/>
      <c r="CB21" s="1383"/>
      <c r="CC21" s="1383"/>
      <c r="CD21" s="1383"/>
      <c r="CE21" s="1383"/>
      <c r="CF21" s="1383"/>
      <c r="CG21" s="1383"/>
      <c r="CH21" s="1383"/>
      <c r="CI21" s="1383"/>
      <c r="CJ21" s="1383"/>
      <c r="CK21" s="1383"/>
      <c r="CL21" s="1383"/>
      <c r="CM21" s="1383"/>
      <c r="CN21" s="1383"/>
      <c r="CO21" s="1383"/>
      <c r="CR21" s="507"/>
      <c r="CS21" s="507"/>
      <c r="CT21" s="507"/>
      <c r="CU21" s="507"/>
      <c r="CV21" s="507"/>
    </row>
    <row s="1383" customFormat="1" customHeight="1" ht="14.25" hidden="1">
      <c r="L22" s="1346"/>
      <c r="M22" s="1379"/>
      <c r="N22" s="1379"/>
      <c r="O22" s="1381" t="s">
        <v>422</v>
      </c>
      <c r="P22" s="1379"/>
      <c r="Q22" s="1388"/>
      <c r="R22" s="1388"/>
      <c r="S22" s="724"/>
      <c r="T22" s="1155" t="s">
        <v>423</v>
      </c>
      <c r="AA22" s="166" t="s">
        <v>424</v>
      </c>
      <c r="AC22" s="166" t="s">
        <v>425</v>
      </c>
      <c r="AD22" s="1155" t="s">
        <v>423</v>
      </c>
      <c r="AI22" s="166" t="s">
        <v>426</v>
      </c>
      <c r="AK22" s="166" t="s">
        <v>425</v>
      </c>
      <c r="AL22" s="1383"/>
      <c r="AM22" s="1383"/>
      <c r="AN22" s="1383"/>
      <c r="AO22" s="1383"/>
      <c r="AP22" s="1383"/>
      <c r="AQ22" s="1387" t="s">
        <v>424</v>
      </c>
      <c r="AR22" s="1383"/>
      <c r="AS22" s="1387" t="s">
        <v>425</v>
      </c>
      <c r="AT22" s="1383"/>
      <c r="AU22" s="1383"/>
      <c r="AV22" s="1383"/>
      <c r="AW22" s="1383"/>
      <c r="AX22" s="1383"/>
      <c r="AY22" s="1387" t="s">
        <v>424</v>
      </c>
      <c r="AZ22" s="1383"/>
      <c r="BA22" s="1387" t="s">
        <v>425</v>
      </c>
      <c r="BB22" s="1383"/>
      <c r="BC22" s="1383"/>
      <c r="BD22" s="1383"/>
      <c r="BE22" s="1383"/>
      <c r="BF22" s="1383"/>
      <c r="BG22" s="1387" t="s">
        <v>424</v>
      </c>
      <c r="BH22" s="1383"/>
      <c r="BI22" s="1387" t="s">
        <v>425</v>
      </c>
      <c r="BJ22" s="1383"/>
      <c r="BK22" s="1383"/>
      <c r="BL22" s="1383"/>
      <c r="BM22" s="1383"/>
      <c r="BN22" s="1383"/>
      <c r="BO22" s="1387" t="s">
        <v>424</v>
      </c>
      <c r="BP22" s="1383"/>
      <c r="BQ22" s="1387" t="s">
        <v>425</v>
      </c>
      <c r="BR22" s="1383"/>
      <c r="BS22" s="1383"/>
      <c r="BT22" s="1383"/>
      <c r="BU22" s="1383"/>
      <c r="BV22" s="1383"/>
      <c r="BW22" s="1387" t="s">
        <v>424</v>
      </c>
      <c r="BX22" s="1383"/>
      <c r="BY22" s="1387" t="s">
        <v>425</v>
      </c>
      <c r="BZ22" s="1383"/>
      <c r="CA22" s="1383"/>
      <c r="CB22" s="1383"/>
      <c r="CC22" s="1383"/>
      <c r="CD22" s="1383"/>
      <c r="CE22" s="1387" t="s">
        <v>424</v>
      </c>
      <c r="CF22" s="1383"/>
      <c r="CG22" s="1387" t="s">
        <v>425</v>
      </c>
      <c r="CH22" s="1383"/>
      <c r="CI22" s="1383"/>
      <c r="CJ22" s="1383"/>
      <c r="CK22" s="1383"/>
      <c r="CL22" s="1383"/>
      <c r="CM22" s="1387" t="s">
        <v>424</v>
      </c>
      <c r="CN22" s="1383"/>
      <c r="CO22" s="1387" t="s">
        <v>425</v>
      </c>
      <c r="CR22" s="507"/>
      <c r="CS22" s="507"/>
      <c r="CT22" s="507"/>
      <c r="CU22" s="507"/>
      <c r="CV22" s="507"/>
    </row>
    <row customHeight="1" ht="14.25" hidden="1">
      <c r="O23" s="1381"/>
      <c r="AL23" s="1660"/>
      <c r="AM23" s="1660"/>
      <c r="AN23" s="1660"/>
      <c r="AO23" s="1660"/>
      <c r="AP23" s="1660"/>
      <c r="AQ23" s="1660"/>
      <c r="AR23" s="1660"/>
      <c r="AS23" s="1660"/>
      <c r="AT23" s="1660"/>
      <c r="AU23" s="1660"/>
      <c r="AV23" s="1660"/>
      <c r="AW23" s="1660"/>
      <c r="AX23" s="1660"/>
      <c r="AY23" s="1660"/>
      <c r="AZ23" s="1660"/>
      <c r="BA23" s="1660"/>
      <c r="BB23" s="1660"/>
      <c r="BC23" s="1660"/>
      <c r="BD23" s="1660"/>
      <c r="BE23" s="1660"/>
      <c r="BF23" s="1660"/>
      <c r="BG23" s="1660"/>
      <c r="BH23" s="1660"/>
      <c r="BI23" s="1660"/>
      <c r="BJ23" s="1660"/>
      <c r="BK23" s="1660"/>
      <c r="BL23" s="1660"/>
      <c r="BM23" s="1660"/>
      <c r="BN23" s="1660"/>
      <c r="BO23" s="1660"/>
      <c r="BP23" s="1660"/>
      <c r="BQ23" s="1660"/>
      <c r="BR23" s="1660"/>
      <c r="BS23" s="1660"/>
      <c r="BT23" s="1660"/>
      <c r="BU23" s="1660"/>
      <c r="BV23" s="1660"/>
      <c r="BW23" s="1660"/>
      <c r="BX23" s="1660"/>
      <c r="BY23" s="1660"/>
      <c r="BZ23" s="1660"/>
      <c r="CA23" s="1660"/>
      <c r="CB23" s="1660"/>
      <c r="CC23" s="1660"/>
      <c r="CD23" s="1660"/>
      <c r="CE23" s="1660"/>
      <c r="CF23" s="1660"/>
      <c r="CG23" s="1660"/>
      <c r="CH23" s="1660"/>
      <c r="CI23" s="1660"/>
      <c r="CJ23" s="1660"/>
      <c r="CK23" s="1660"/>
      <c r="CL23" s="1660"/>
      <c r="CM23" s="1660"/>
      <c r="CN23" s="1660"/>
      <c r="CO23" s="1660"/>
    </row>
    <row customHeight="1" ht="14.25" hidden="1">
      <c r="O24" s="1381"/>
      <c r="AL24" s="1660"/>
      <c r="AM24" s="1660"/>
      <c r="AN24" s="1660"/>
      <c r="AO24" s="1660"/>
      <c r="AP24" s="1660"/>
      <c r="AQ24" s="1660"/>
      <c r="AR24" s="1660"/>
      <c r="AS24" s="1660"/>
      <c r="AT24" s="1660"/>
      <c r="AU24" s="1660"/>
      <c r="AV24" s="1660"/>
      <c r="AW24" s="1660"/>
      <c r="AX24" s="1660"/>
      <c r="AY24" s="1660"/>
      <c r="AZ24" s="1660"/>
      <c r="BA24" s="1660"/>
      <c r="BB24" s="1660"/>
      <c r="BC24" s="1660"/>
      <c r="BD24" s="1660"/>
      <c r="BE24" s="1660"/>
      <c r="BF24" s="1660"/>
      <c r="BG24" s="1660"/>
      <c r="BH24" s="1660"/>
      <c r="BI24" s="1660"/>
      <c r="BJ24" s="1660"/>
      <c r="BK24" s="1660"/>
      <c r="BL24" s="1660"/>
      <c r="BM24" s="1660"/>
      <c r="BN24" s="1660"/>
      <c r="BO24" s="1660"/>
      <c r="BP24" s="1660"/>
      <c r="BQ24" s="1660"/>
      <c r="BR24" s="1660"/>
      <c r="BS24" s="1660"/>
      <c r="BT24" s="1660"/>
      <c r="BU24" s="1660"/>
      <c r="BV24" s="1660"/>
      <c r="BW24" s="1660"/>
      <c r="BX24" s="1660"/>
      <c r="BY24" s="1660"/>
      <c r="BZ24" s="1660"/>
      <c r="CA24" s="1660"/>
      <c r="CB24" s="1660"/>
      <c r="CC24" s="1660"/>
      <c r="CD24" s="1660"/>
      <c r="CE24" s="1660"/>
      <c r="CF24" s="1660"/>
      <c r="CG24" s="1660"/>
      <c r="CH24" s="1660"/>
      <c r="CI24" s="1660"/>
      <c r="CJ24" s="1660"/>
      <c r="CK24" s="1660"/>
      <c r="CL24" s="1660"/>
      <c r="CM24" s="1660"/>
      <c r="CN24" s="1660"/>
      <c r="CO24" s="1660"/>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c r="AL25" s="1660"/>
      <c r="AM25" s="1660"/>
      <c r="AN25" s="1660"/>
      <c r="AO25" s="1660"/>
      <c r="AP25" s="1660"/>
      <c r="AQ25" s="1660"/>
      <c r="AR25" s="1660"/>
      <c r="AS25" s="1660"/>
      <c r="AT25" s="1660"/>
      <c r="AU25" s="1660"/>
      <c r="AV25" s="1660"/>
      <c r="AW25" s="1660"/>
      <c r="AX25" s="1660"/>
      <c r="AY25" s="1660"/>
      <c r="AZ25" s="1660"/>
      <c r="BA25" s="1660"/>
      <c r="BB25" s="1660"/>
      <c r="BC25" s="1660"/>
      <c r="BD25" s="1660"/>
      <c r="BE25" s="1660"/>
      <c r="BF25" s="1660"/>
      <c r="BG25" s="1660"/>
      <c r="BH25" s="1660"/>
      <c r="BI25" s="1660"/>
      <c r="BJ25" s="1660"/>
      <c r="BK25" s="1660"/>
      <c r="BL25" s="1660"/>
      <c r="BM25" s="1660"/>
      <c r="BN25" s="1660"/>
      <c r="BO25" s="1660"/>
      <c r="BP25" s="1660"/>
      <c r="BQ25" s="1660"/>
      <c r="BR25" s="1660"/>
      <c r="BS25" s="1660"/>
      <c r="BT25" s="1660"/>
      <c r="BU25" s="1660"/>
      <c r="BV25" s="1660"/>
      <c r="BW25" s="1660"/>
      <c r="BX25" s="1660"/>
      <c r="BY25" s="1660"/>
      <c r="BZ25" s="1660"/>
      <c r="CA25" s="1660"/>
      <c r="CB25" s="1660"/>
      <c r="CC25" s="1660"/>
      <c r="CD25" s="1660"/>
      <c r="CE25" s="1660"/>
      <c r="CF25" s="1660"/>
      <c r="CG25" s="1660"/>
      <c r="CH25" s="1660"/>
      <c r="CI25" s="1660"/>
      <c r="CJ25" s="1660"/>
      <c r="CK25" s="1660"/>
      <c r="CL25" s="1660"/>
      <c r="CM25" s="1660"/>
      <c r="CN25" s="1660"/>
      <c r="CO25" s="1660"/>
    </row>
    <row customHeight="1" ht="14.25">
      <c r="Q26" s="368"/>
      <c r="R26" s="368"/>
      <c r="S26" s="212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22"/>
      <c r="U26" s="2122"/>
      <c r="V26" s="2122"/>
      <c r="W26" s="2122"/>
      <c r="X26" s="2122"/>
      <c r="Y26" s="2122"/>
      <c r="Z26" s="2122"/>
      <c r="AA26" s="2122"/>
      <c r="AB26" s="2122"/>
      <c r="AC26" s="2122"/>
      <c r="AD26" s="2122"/>
      <c r="AE26" s="2122"/>
      <c r="AF26" s="2122"/>
      <c r="AG26" s="2122"/>
      <c r="AH26" s="2122"/>
      <c r="AI26" s="2122"/>
      <c r="AJ26" s="2122"/>
      <c r="AK26" s="1248"/>
      <c r="AL26" s="2122"/>
      <c r="AM26" s="2122"/>
      <c r="AN26" s="2122"/>
      <c r="AO26" s="2122"/>
      <c r="AP26" s="2122"/>
      <c r="AQ26" s="2122"/>
      <c r="AR26" s="2122"/>
      <c r="AS26" s="2122"/>
      <c r="AT26" s="2122"/>
      <c r="AU26" s="2122"/>
      <c r="AV26" s="2122"/>
      <c r="AW26" s="2122"/>
      <c r="AX26" s="2122"/>
      <c r="AY26" s="2122"/>
      <c r="AZ26" s="2122"/>
      <c r="BA26" s="2122"/>
      <c r="BB26" s="2122"/>
      <c r="BC26" s="2122"/>
      <c r="BD26" s="2122"/>
      <c r="BE26" s="2122"/>
      <c r="BF26" s="2122"/>
      <c r="BG26" s="2122"/>
      <c r="BH26" s="2122"/>
      <c r="BI26" s="2122"/>
      <c r="BJ26" s="2122"/>
      <c r="BK26" s="2122"/>
      <c r="BL26" s="2122"/>
      <c r="BM26" s="2122"/>
      <c r="BN26" s="2122"/>
      <c r="BO26" s="2122"/>
      <c r="BP26" s="2122"/>
      <c r="BQ26" s="2122"/>
      <c r="BR26" s="2122"/>
      <c r="BS26" s="2122"/>
      <c r="BT26" s="2122"/>
      <c r="BU26" s="2122"/>
      <c r="BV26" s="2122"/>
      <c r="BW26" s="2122"/>
      <c r="BX26" s="2122"/>
      <c r="BY26" s="2122"/>
      <c r="BZ26" s="2122"/>
      <c r="CA26" s="2122"/>
      <c r="CB26" s="2122"/>
      <c r="CC26" s="2122"/>
      <c r="CD26" s="2122"/>
      <c r="CE26" s="2122"/>
      <c r="CF26" s="2122"/>
      <c r="CG26" s="2122"/>
      <c r="CH26" s="2122"/>
      <c r="CI26" s="2122"/>
      <c r="CJ26" s="2122"/>
      <c r="CK26" s="2122"/>
      <c r="CL26" s="2122"/>
      <c r="CM26" s="2122"/>
      <c r="CN26" s="2122"/>
      <c r="CO26" s="2122"/>
    </row>
    <row customHeight="1" ht="14.25">
      <c r="Q27" s="368"/>
      <c r="R27" s="368"/>
      <c r="S27" s="2123" t="str">
        <f>IF(org=0,"Не определено",org)</f>
        <v>ООО "ПРОМ ИМПУЛЬС"</v>
      </c>
      <c r="T27" s="2123"/>
      <c r="U27" s="2123"/>
      <c r="V27" s="2123"/>
      <c r="W27" s="2123"/>
      <c r="X27" s="2123"/>
      <c r="Y27" s="2123"/>
      <c r="Z27" s="2123"/>
      <c r="AA27" s="2123"/>
      <c r="AB27" s="2123"/>
      <c r="AC27" s="2123"/>
      <c r="AD27" s="2123"/>
      <c r="AE27" s="2123"/>
      <c r="AF27" s="2123"/>
      <c r="AG27" s="2123"/>
      <c r="AH27" s="2123"/>
      <c r="AI27" s="2123"/>
      <c r="AJ27" s="2123"/>
      <c r="AK27" s="1248"/>
      <c r="AL27" s="2123"/>
      <c r="AM27" s="2123"/>
      <c r="AN27" s="2123"/>
      <c r="AO27" s="2123"/>
      <c r="AP27" s="2123"/>
      <c r="AQ27" s="2123"/>
      <c r="AR27" s="2123"/>
      <c r="AS27" s="2123"/>
      <c r="AT27" s="2123"/>
      <c r="AU27" s="2123"/>
      <c r="AV27" s="2123"/>
      <c r="AW27" s="2123"/>
      <c r="AX27" s="2123"/>
      <c r="AY27" s="2123"/>
      <c r="AZ27" s="2123"/>
      <c r="BA27" s="2123"/>
      <c r="BB27" s="2123"/>
      <c r="BC27" s="2123"/>
      <c r="BD27" s="2123"/>
      <c r="BE27" s="2123"/>
      <c r="BF27" s="2123"/>
      <c r="BG27" s="2123"/>
      <c r="BH27" s="2123"/>
      <c r="BI27" s="2123"/>
      <c r="BJ27" s="2123"/>
      <c r="BK27" s="2123"/>
      <c r="BL27" s="2123"/>
      <c r="BM27" s="2123"/>
      <c r="BN27" s="2123"/>
      <c r="BO27" s="2123"/>
      <c r="BP27" s="2123"/>
      <c r="BQ27" s="2123"/>
      <c r="BR27" s="2123"/>
      <c r="BS27" s="2123"/>
      <c r="BT27" s="2123"/>
      <c r="BU27" s="2123"/>
      <c r="BV27" s="2123"/>
      <c r="BW27" s="2123"/>
      <c r="BX27" s="2123"/>
      <c r="BY27" s="2123"/>
      <c r="BZ27" s="2123"/>
      <c r="CA27" s="2123"/>
      <c r="CB27" s="2123"/>
      <c r="CC27" s="2123"/>
      <c r="CD27" s="2123"/>
      <c r="CE27" s="2123"/>
      <c r="CF27" s="2123"/>
      <c r="CG27" s="2123"/>
      <c r="CH27" s="2123"/>
      <c r="CI27" s="2123"/>
      <c r="CJ27" s="2123"/>
      <c r="CK27" s="2123"/>
      <c r="CL27" s="2123"/>
      <c r="CM27" s="2123"/>
      <c r="CN27" s="2123"/>
      <c r="CO27" s="2123"/>
    </row>
    <row customHeight="1" ht="14.25">
      <c r="Q28" s="368"/>
      <c r="R28" s="368"/>
      <c r="S28" s="1292"/>
      <c r="T28" s="353"/>
      <c r="U28" s="353"/>
      <c r="V28" s="308"/>
      <c r="W28" s="308"/>
      <c r="X28" s="308"/>
      <c r="Y28" s="308"/>
      <c r="Z28" s="308"/>
      <c r="AA28" s="308"/>
      <c r="AB28" s="308"/>
      <c r="AC28" s="308"/>
      <c r="AD28" s="308"/>
      <c r="AE28" s="308"/>
      <c r="AF28" s="308"/>
      <c r="AG28" s="308"/>
      <c r="AH28" s="308"/>
      <c r="AI28" s="308"/>
      <c r="AJ28" s="308"/>
      <c r="AK28" s="308"/>
      <c r="AL28" s="308"/>
      <c r="AM28" s="308"/>
      <c r="AN28" s="308"/>
      <c r="AO28" s="308"/>
      <c r="AP28" s="308"/>
      <c r="AQ28" s="308"/>
      <c r="AR28" s="308"/>
      <c r="AS28" s="308"/>
      <c r="AT28" s="308"/>
      <c r="AU28" s="308"/>
      <c r="AV28" s="308"/>
      <c r="AW28" s="308"/>
      <c r="AX28" s="308"/>
      <c r="AY28" s="308"/>
      <c r="AZ28" s="308"/>
      <c r="BA28" s="308"/>
      <c r="BB28" s="308"/>
      <c r="BC28" s="308"/>
      <c r="BD28" s="308"/>
      <c r="BE28" s="308"/>
      <c r="BF28" s="308"/>
      <c r="BG28" s="308"/>
      <c r="BH28" s="308"/>
      <c r="BI28" s="308"/>
      <c r="BJ28" s="308"/>
      <c r="BK28" s="308"/>
      <c r="BL28" s="308"/>
      <c r="BM28" s="308"/>
      <c r="BN28" s="308"/>
      <c r="BO28" s="308"/>
      <c r="BP28" s="308"/>
      <c r="BQ28" s="308"/>
      <c r="BR28" s="308"/>
      <c r="BS28" s="308"/>
      <c r="BT28" s="308"/>
      <c r="BU28" s="308"/>
      <c r="BV28" s="308"/>
      <c r="BW28" s="308"/>
      <c r="BX28" s="308"/>
      <c r="BY28" s="308"/>
      <c r="BZ28" s="308"/>
      <c r="CA28" s="308"/>
      <c r="CB28" s="308"/>
      <c r="CC28" s="308"/>
      <c r="CD28" s="308"/>
      <c r="CE28" s="308"/>
      <c r="CF28" s="308"/>
      <c r="CG28" s="308"/>
      <c r="CH28" s="308"/>
      <c r="CI28" s="308"/>
      <c r="CJ28" s="308"/>
      <c r="CK28" s="308"/>
      <c r="CL28" s="308"/>
      <c r="CM28" s="308"/>
      <c r="CN28" s="308"/>
      <c r="CO28" s="308"/>
      <c r="CP28" s="505"/>
    </row>
    <row s="1877" customFormat="1" customHeight="1" ht="25.5">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Комитет по тарифам Санкт-Петербурга</v>
      </c>
      <c r="W29" s="2082"/>
      <c r="X29" s="2082"/>
      <c r="Y29" s="2082"/>
      <c r="Z29" s="2082"/>
      <c r="AA29" s="2082"/>
      <c r="AB29" s="2082"/>
      <c r="AC29" s="314"/>
      <c r="AD29" s="2082" t="str">
        <f>IF(TITLE_NAME_OR_PR_CHANGE="",IF(TITLE_NAME_OR_PR="","",TITLE_NAME_OR_PR),TITLE_NAME_OR_PR_CHANGE)</f>
        <v>Комитет по тарифам Санкт-Петербурга</v>
      </c>
      <c r="AE29" s="2082"/>
      <c r="AF29" s="2082"/>
      <c r="AG29" s="2082"/>
      <c r="AH29" s="2082"/>
      <c r="AI29" s="2082"/>
      <c r="AJ29" s="2082"/>
      <c r="AK29" s="314"/>
      <c r="AL29" s="2082" t="str">
        <f>IF(TITLE_NAME_OR_PR_CHANGE="",IF(TITLE_NAME_OR_PR="","",TITLE_NAME_OR_PR),TITLE_NAME_OR_PR_CHANGE)</f>
        <v>Комитет по тарифам Санкт-Петербурга</v>
      </c>
      <c r="AM29" s="2082"/>
      <c r="AN29" s="2082"/>
      <c r="AO29" s="2082"/>
      <c r="AP29" s="2082"/>
      <c r="AQ29" s="2082"/>
      <c r="AR29" s="2082"/>
      <c r="AS29" s="1660"/>
      <c r="AT29" s="2082" t="str">
        <f>IF(TITLE_NAME_OR_PR_CHANGE="",IF(TITLE_NAME_OR_PR="","",TITLE_NAME_OR_PR),TITLE_NAME_OR_PR_CHANGE)</f>
        <v>Комитет по тарифам Санкт-Петербурга</v>
      </c>
      <c r="AU29" s="2082"/>
      <c r="AV29" s="2082"/>
      <c r="AW29" s="2082"/>
      <c r="AX29" s="2082"/>
      <c r="AY29" s="2082"/>
      <c r="AZ29" s="2082"/>
      <c r="BA29" s="1660"/>
      <c r="BB29" s="2082" t="str">
        <f>IF(TITLE_NAME_OR_PR_CHANGE="",IF(TITLE_NAME_OR_PR="","",TITLE_NAME_OR_PR),TITLE_NAME_OR_PR_CHANGE)</f>
        <v>Комитет по тарифам Санкт-Петербурга</v>
      </c>
      <c r="BC29" s="2082"/>
      <c r="BD29" s="2082"/>
      <c r="BE29" s="2082"/>
      <c r="BF29" s="2082"/>
      <c r="BG29" s="2082"/>
      <c r="BH29" s="2082"/>
      <c r="BI29" s="1660"/>
      <c r="BJ29" s="2082" t="str">
        <f>IF(TITLE_NAME_OR_PR_CHANGE="",IF(TITLE_NAME_OR_PR="","",TITLE_NAME_OR_PR),TITLE_NAME_OR_PR_CHANGE)</f>
        <v>Комитет по тарифам Санкт-Петербурга</v>
      </c>
      <c r="BK29" s="2082"/>
      <c r="BL29" s="2082"/>
      <c r="BM29" s="2082"/>
      <c r="BN29" s="2082"/>
      <c r="BO29" s="2082"/>
      <c r="BP29" s="2082"/>
      <c r="BQ29" s="1660"/>
      <c r="BR29" s="2082" t="str">
        <f>IF(TITLE_NAME_OR_PR_CHANGE="",IF(TITLE_NAME_OR_PR="","",TITLE_NAME_OR_PR),TITLE_NAME_OR_PR_CHANGE)</f>
        <v>Комитет по тарифам Санкт-Петербурга</v>
      </c>
      <c r="BS29" s="2082"/>
      <c r="BT29" s="2082"/>
      <c r="BU29" s="2082"/>
      <c r="BV29" s="2082"/>
      <c r="BW29" s="2082"/>
      <c r="BX29" s="2082"/>
      <c r="BY29" s="1660"/>
      <c r="BZ29" s="2082" t="str">
        <f>IF(TITLE_NAME_OR_PR_CHANGE="",IF(TITLE_NAME_OR_PR="","",TITLE_NAME_OR_PR),TITLE_NAME_OR_PR_CHANGE)</f>
        <v>Комитет по тарифам Санкт-Петербурга</v>
      </c>
      <c r="CA29" s="2082"/>
      <c r="CB29" s="2082"/>
      <c r="CC29" s="2082"/>
      <c r="CD29" s="2082"/>
      <c r="CE29" s="2082"/>
      <c r="CF29" s="2082"/>
      <c r="CG29" s="1660"/>
      <c r="CH29" s="2082" t="str">
        <f>IF(TITLE_NAME_OR_PR_CHANGE="",IF(TITLE_NAME_OR_PR="","",TITLE_NAME_OR_PR),TITLE_NAME_OR_PR_CHANGE)</f>
        <v>Комитет по тарифам Санкт-Петербурга</v>
      </c>
      <c r="CI29" s="2082"/>
      <c r="CJ29" s="2082"/>
      <c r="CK29" s="2082"/>
      <c r="CL29" s="2082"/>
      <c r="CM29" s="2082"/>
      <c r="CN29" s="2082"/>
      <c r="CO29" s="1660"/>
      <c r="CP29" s="314"/>
      <c r="CQ29" s="261"/>
      <c r="CR29" s="360"/>
      <c r="CS29" s="360"/>
      <c r="CT29" s="360"/>
      <c r="CU29" s="360"/>
      <c r="CV29" s="360"/>
    </row>
    <row s="1877" customFormat="1" customHeight="1" ht="18.75">
      <c r="A30" s="1385"/>
      <c r="B30" s="1385"/>
      <c r="C30" s="1385"/>
      <c r="D30" s="1385"/>
      <c r="E30" s="1385"/>
      <c r="F30" s="1385"/>
      <c r="G30" s="1385"/>
      <c r="H30" s="1385"/>
      <c r="I30" s="1385"/>
      <c r="J30" s="1385"/>
      <c r="K30" s="1385"/>
      <c r="L30" s="1386"/>
      <c r="M30" s="1385"/>
      <c r="N30" s="1385"/>
      <c r="O30" s="1385"/>
      <c r="S30" s="2080" t="s">
        <v>427</v>
      </c>
      <c r="T30" s="2080"/>
      <c r="U30" s="1389"/>
      <c r="V30" s="2081" t="str">
        <f>IF(TITLE_DATE_PR_CHANGE="",IF(TITLE_DATE_PR="","",TITLE_DATE_PR),TITLE_DATE_PR_CHANGE)</f>
        <v>45268.58207175926</v>
      </c>
      <c r="W30" s="2081"/>
      <c r="X30" s="2081"/>
      <c r="Y30" s="2081"/>
      <c r="Z30" s="2081"/>
      <c r="AA30" s="2081"/>
      <c r="AB30" s="2081"/>
      <c r="AC30" s="314"/>
      <c r="AD30" s="2081" t="str">
        <f>IF(TITLE_DATE_PR_CHANGE="",IF(TITLE_DATE_PR="","",TITLE_DATE_PR),TITLE_DATE_PR_CHANGE)</f>
        <v>45268.58207175926</v>
      </c>
      <c r="AE30" s="2081"/>
      <c r="AF30" s="2081"/>
      <c r="AG30" s="2081"/>
      <c r="AH30" s="2081"/>
      <c r="AI30" s="2081"/>
      <c r="AJ30" s="2081"/>
      <c r="AK30" s="314"/>
      <c r="AL30" s="2081" t="str">
        <f>IF(TITLE_DATE_PR_CHANGE="",IF(TITLE_DATE_PR="","",TITLE_DATE_PR),TITLE_DATE_PR_CHANGE)</f>
        <v>45268.58207175926</v>
      </c>
      <c r="AM30" s="2081"/>
      <c r="AN30" s="2081"/>
      <c r="AO30" s="2081"/>
      <c r="AP30" s="2081"/>
      <c r="AQ30" s="2081"/>
      <c r="AR30" s="2081"/>
      <c r="AS30" s="1660"/>
      <c r="AT30" s="2081" t="str">
        <f>IF(TITLE_DATE_PR_CHANGE="",IF(TITLE_DATE_PR="","",TITLE_DATE_PR),TITLE_DATE_PR_CHANGE)</f>
        <v>45268.58207175926</v>
      </c>
      <c r="AU30" s="2081"/>
      <c r="AV30" s="2081"/>
      <c r="AW30" s="2081"/>
      <c r="AX30" s="2081"/>
      <c r="AY30" s="2081"/>
      <c r="AZ30" s="2081"/>
      <c r="BA30" s="1660"/>
      <c r="BB30" s="2081" t="str">
        <f>IF(TITLE_DATE_PR_CHANGE="",IF(TITLE_DATE_PR="","",TITLE_DATE_PR),TITLE_DATE_PR_CHANGE)</f>
        <v>45268.58207175926</v>
      </c>
      <c r="BC30" s="2081"/>
      <c r="BD30" s="2081"/>
      <c r="BE30" s="2081"/>
      <c r="BF30" s="2081"/>
      <c r="BG30" s="2081"/>
      <c r="BH30" s="2081"/>
      <c r="BI30" s="1660"/>
      <c r="BJ30" s="2081" t="str">
        <f>IF(TITLE_DATE_PR_CHANGE="",IF(TITLE_DATE_PR="","",TITLE_DATE_PR),TITLE_DATE_PR_CHANGE)</f>
        <v>45268.58207175926</v>
      </c>
      <c r="BK30" s="2081"/>
      <c r="BL30" s="2081"/>
      <c r="BM30" s="2081"/>
      <c r="BN30" s="2081"/>
      <c r="BO30" s="2081"/>
      <c r="BP30" s="2081"/>
      <c r="BQ30" s="1660"/>
      <c r="BR30" s="2081" t="str">
        <f>IF(TITLE_DATE_PR_CHANGE="",IF(TITLE_DATE_PR="","",TITLE_DATE_PR),TITLE_DATE_PR_CHANGE)</f>
        <v>45268.58207175926</v>
      </c>
      <c r="BS30" s="2081"/>
      <c r="BT30" s="2081"/>
      <c r="BU30" s="2081"/>
      <c r="BV30" s="2081"/>
      <c r="BW30" s="2081"/>
      <c r="BX30" s="2081"/>
      <c r="BY30" s="1660"/>
      <c r="BZ30" s="2081" t="str">
        <f>IF(TITLE_DATE_PR_CHANGE="",IF(TITLE_DATE_PR="","",TITLE_DATE_PR),TITLE_DATE_PR_CHANGE)</f>
        <v>45268.58207175926</v>
      </c>
      <c r="CA30" s="2081"/>
      <c r="CB30" s="2081"/>
      <c r="CC30" s="2081"/>
      <c r="CD30" s="2081"/>
      <c r="CE30" s="2081"/>
      <c r="CF30" s="2081"/>
      <c r="CG30" s="1660"/>
      <c r="CH30" s="2081" t="str">
        <f>IF(TITLE_DATE_PR_CHANGE="",IF(TITLE_DATE_PR="","",TITLE_DATE_PR),TITLE_DATE_PR_CHANGE)</f>
        <v>45268.58207175926</v>
      </c>
      <c r="CI30" s="2081"/>
      <c r="CJ30" s="2081"/>
      <c r="CK30" s="2081"/>
      <c r="CL30" s="2081"/>
      <c r="CM30" s="2081"/>
      <c r="CN30" s="2081"/>
      <c r="CO30" s="1660"/>
      <c r="CP30" s="314"/>
      <c r="CQ30" s="261"/>
      <c r="CR30" s="360"/>
      <c r="CS30" s="360"/>
      <c r="CT30" s="360"/>
      <c r="CU30" s="360"/>
      <c r="CV30" s="360"/>
    </row>
    <row s="1877" customFormat="1" customHeight="1" ht="18.75">
      <c r="A31" s="1385"/>
      <c r="B31" s="1385"/>
      <c r="C31" s="1385"/>
      <c r="D31" s="1385"/>
      <c r="E31" s="1385"/>
      <c r="F31" s="1385"/>
      <c r="G31" s="1385"/>
      <c r="H31" s="1385"/>
      <c r="I31" s="1385"/>
      <c r="J31" s="1385"/>
      <c r="K31" s="1385"/>
      <c r="L31" s="1386"/>
      <c r="M31" s="1385"/>
      <c r="N31" s="1385"/>
      <c r="O31" s="1385"/>
      <c r="S31" s="2080" t="s">
        <v>428</v>
      </c>
      <c r="T31" s="2080"/>
      <c r="U31" s="1389"/>
      <c r="V31" s="2082" t="str">
        <f>IF(TITLE_NUMBER_PR_CHANGE="",IF(TITLE_NUMBER_PR="","",TITLE_NUMBER_PR),TITLE_NUMBER_PR_CHANGE)</f>
        <v>237-р</v>
      </c>
      <c r="W31" s="2082"/>
      <c r="X31" s="2082"/>
      <c r="Y31" s="2082"/>
      <c r="Z31" s="2082"/>
      <c r="AA31" s="2082"/>
      <c r="AB31" s="2082"/>
      <c r="AC31" s="314"/>
      <c r="AD31" s="2082" t="str">
        <f>IF(TITLE_NUMBER_PR_CHANGE="",IF(TITLE_NUMBER_PR="","",TITLE_NUMBER_PR),TITLE_NUMBER_PR_CHANGE)</f>
        <v>237-р</v>
      </c>
      <c r="AE31" s="2082"/>
      <c r="AF31" s="2082"/>
      <c r="AG31" s="2082"/>
      <c r="AH31" s="2082"/>
      <c r="AI31" s="2082"/>
      <c r="AJ31" s="2082"/>
      <c r="AK31" s="314"/>
      <c r="AL31" s="2082" t="str">
        <f>IF(TITLE_NUMBER_PR_CHANGE="",IF(TITLE_NUMBER_PR="","",TITLE_NUMBER_PR),TITLE_NUMBER_PR_CHANGE)</f>
        <v>237-р</v>
      </c>
      <c r="AM31" s="2082"/>
      <c r="AN31" s="2082"/>
      <c r="AO31" s="2082"/>
      <c r="AP31" s="2082"/>
      <c r="AQ31" s="2082"/>
      <c r="AR31" s="2082"/>
      <c r="AS31" s="1660"/>
      <c r="AT31" s="2082" t="str">
        <f>IF(TITLE_NUMBER_PR_CHANGE="",IF(TITLE_NUMBER_PR="","",TITLE_NUMBER_PR),TITLE_NUMBER_PR_CHANGE)</f>
        <v>237-р</v>
      </c>
      <c r="AU31" s="2082"/>
      <c r="AV31" s="2082"/>
      <c r="AW31" s="2082"/>
      <c r="AX31" s="2082"/>
      <c r="AY31" s="2082"/>
      <c r="AZ31" s="2082"/>
      <c r="BA31" s="1660"/>
      <c r="BB31" s="2082" t="str">
        <f>IF(TITLE_NUMBER_PR_CHANGE="",IF(TITLE_NUMBER_PR="","",TITLE_NUMBER_PR),TITLE_NUMBER_PR_CHANGE)</f>
        <v>237-р</v>
      </c>
      <c r="BC31" s="2082"/>
      <c r="BD31" s="2082"/>
      <c r="BE31" s="2082"/>
      <c r="BF31" s="2082"/>
      <c r="BG31" s="2082"/>
      <c r="BH31" s="2082"/>
      <c r="BI31" s="1660"/>
      <c r="BJ31" s="2082" t="str">
        <f>IF(TITLE_NUMBER_PR_CHANGE="",IF(TITLE_NUMBER_PR="","",TITLE_NUMBER_PR),TITLE_NUMBER_PR_CHANGE)</f>
        <v>237-р</v>
      </c>
      <c r="BK31" s="2082"/>
      <c r="BL31" s="2082"/>
      <c r="BM31" s="2082"/>
      <c r="BN31" s="2082"/>
      <c r="BO31" s="2082"/>
      <c r="BP31" s="2082"/>
      <c r="BQ31" s="1660"/>
      <c r="BR31" s="2082" t="str">
        <f>IF(TITLE_NUMBER_PR_CHANGE="",IF(TITLE_NUMBER_PR="","",TITLE_NUMBER_PR),TITLE_NUMBER_PR_CHANGE)</f>
        <v>237-р</v>
      </c>
      <c r="BS31" s="2082"/>
      <c r="BT31" s="2082"/>
      <c r="BU31" s="2082"/>
      <c r="BV31" s="2082"/>
      <c r="BW31" s="2082"/>
      <c r="BX31" s="2082"/>
      <c r="BY31" s="1660"/>
      <c r="BZ31" s="2082" t="str">
        <f>IF(TITLE_NUMBER_PR_CHANGE="",IF(TITLE_NUMBER_PR="","",TITLE_NUMBER_PR),TITLE_NUMBER_PR_CHANGE)</f>
        <v>237-р</v>
      </c>
      <c r="CA31" s="2082"/>
      <c r="CB31" s="2082"/>
      <c r="CC31" s="2082"/>
      <c r="CD31" s="2082"/>
      <c r="CE31" s="2082"/>
      <c r="CF31" s="2082"/>
      <c r="CG31" s="1660"/>
      <c r="CH31" s="2082" t="str">
        <f>IF(TITLE_NUMBER_PR_CHANGE="",IF(TITLE_NUMBER_PR="","",TITLE_NUMBER_PR),TITLE_NUMBER_PR_CHANGE)</f>
        <v>237-р</v>
      </c>
      <c r="CI31" s="2082"/>
      <c r="CJ31" s="2082"/>
      <c r="CK31" s="2082"/>
      <c r="CL31" s="2082"/>
      <c r="CM31" s="2082"/>
      <c r="CN31" s="2082"/>
      <c r="CO31" s="1660"/>
      <c r="CP31" s="314"/>
      <c r="CQ31" s="261"/>
      <c r="CR31" s="360"/>
      <c r="CS31" s="360"/>
      <c r="CT31" s="360"/>
      <c r="CU31" s="360"/>
      <c r="CV31" s="360"/>
    </row>
    <row s="1877" customFormat="1" customHeight="1" ht="18.75">
      <c r="A32" s="1385"/>
      <c r="B32" s="1385"/>
      <c r="C32" s="1385"/>
      <c r="D32" s="1385"/>
      <c r="E32" s="1385"/>
      <c r="F32" s="1385"/>
      <c r="G32" s="1385"/>
      <c r="H32" s="1385"/>
      <c r="I32" s="1385"/>
      <c r="J32" s="1385"/>
      <c r="K32" s="1385"/>
      <c r="L32" s="1386"/>
      <c r="M32" s="1385"/>
      <c r="N32" s="1385"/>
      <c r="O32" s="1385"/>
      <c r="S32" s="2080" t="s">
        <v>40</v>
      </c>
      <c r="T32" s="2080"/>
      <c r="U32" s="1389"/>
      <c r="V32" s="2082" t="str">
        <f>IF(TITLE_IST_PUB_CHANGE="",IF(TITLE_IST_PUB="","",TITLE_IST_PUB),TITLE_IST_PUB_CHANGE)</f>
        <v>https://www.gov.spb.ru/gov/otrasl/energ_kom/inform_/standarty-raskrytiya-informacii-komitetom/teplo/</v>
      </c>
      <c r="W32" s="2082"/>
      <c r="X32" s="2082"/>
      <c r="Y32" s="2082"/>
      <c r="Z32" s="2082"/>
      <c r="AA32" s="2082"/>
      <c r="AB32" s="2082"/>
      <c r="AC32" s="314"/>
      <c r="AD32" s="2082" t="str">
        <f>IF(TITLE_IST_PUB_CHANGE="",IF(TITLE_IST_PUB="","",TITLE_IST_PUB),TITLE_IST_PUB_CHANGE)</f>
        <v>https://www.gov.spb.ru/gov/otrasl/energ_kom/inform_/standarty-raskrytiya-informacii-komitetom/teplo/</v>
      </c>
      <c r="AE32" s="2082"/>
      <c r="AF32" s="2082"/>
      <c r="AG32" s="2082"/>
      <c r="AH32" s="2082"/>
      <c r="AI32" s="2082"/>
      <c r="AJ32" s="2082"/>
      <c r="AK32" s="314"/>
      <c r="AL32" s="2082" t="str">
        <f>IF(TITLE_IST_PUB_CHANGE="",IF(TITLE_IST_PUB="","",TITLE_IST_PUB),TITLE_IST_PUB_CHANGE)</f>
        <v>https://www.gov.spb.ru/gov/otrasl/energ_kom/inform_/standarty-raskrytiya-informacii-komitetom/teplo/</v>
      </c>
      <c r="AM32" s="2082"/>
      <c r="AN32" s="2082"/>
      <c r="AO32" s="2082"/>
      <c r="AP32" s="2082"/>
      <c r="AQ32" s="2082"/>
      <c r="AR32" s="2082"/>
      <c r="AS32" s="1660"/>
      <c r="AT32" s="2082" t="str">
        <f>IF(TITLE_IST_PUB_CHANGE="",IF(TITLE_IST_PUB="","",TITLE_IST_PUB),TITLE_IST_PUB_CHANGE)</f>
        <v>https://www.gov.spb.ru/gov/otrasl/energ_kom/inform_/standarty-raskrytiya-informacii-komitetom/teplo/</v>
      </c>
      <c r="AU32" s="2082"/>
      <c r="AV32" s="2082"/>
      <c r="AW32" s="2082"/>
      <c r="AX32" s="2082"/>
      <c r="AY32" s="2082"/>
      <c r="AZ32" s="2082"/>
      <c r="BA32" s="1660"/>
      <c r="BB32" s="2082" t="str">
        <f>IF(TITLE_IST_PUB_CHANGE="",IF(TITLE_IST_PUB="","",TITLE_IST_PUB),TITLE_IST_PUB_CHANGE)</f>
        <v>https://www.gov.spb.ru/gov/otrasl/energ_kom/inform_/standarty-raskrytiya-informacii-komitetom/teplo/</v>
      </c>
      <c r="BC32" s="2082"/>
      <c r="BD32" s="2082"/>
      <c r="BE32" s="2082"/>
      <c r="BF32" s="2082"/>
      <c r="BG32" s="2082"/>
      <c r="BH32" s="2082"/>
      <c r="BI32" s="1660"/>
      <c r="BJ32" s="2082" t="str">
        <f>IF(TITLE_IST_PUB_CHANGE="",IF(TITLE_IST_PUB="","",TITLE_IST_PUB),TITLE_IST_PUB_CHANGE)</f>
        <v>https://www.gov.spb.ru/gov/otrasl/energ_kom/inform_/standarty-raskrytiya-informacii-komitetom/teplo/</v>
      </c>
      <c r="BK32" s="2082"/>
      <c r="BL32" s="2082"/>
      <c r="BM32" s="2082"/>
      <c r="BN32" s="2082"/>
      <c r="BO32" s="2082"/>
      <c r="BP32" s="2082"/>
      <c r="BQ32" s="1660"/>
      <c r="BR32" s="2082" t="str">
        <f>IF(TITLE_IST_PUB_CHANGE="",IF(TITLE_IST_PUB="","",TITLE_IST_PUB),TITLE_IST_PUB_CHANGE)</f>
        <v>https://www.gov.spb.ru/gov/otrasl/energ_kom/inform_/standarty-raskrytiya-informacii-komitetom/teplo/</v>
      </c>
      <c r="BS32" s="2082"/>
      <c r="BT32" s="2082"/>
      <c r="BU32" s="2082"/>
      <c r="BV32" s="2082"/>
      <c r="BW32" s="2082"/>
      <c r="BX32" s="2082"/>
      <c r="BY32" s="1660"/>
      <c r="BZ32" s="2082" t="str">
        <f>IF(TITLE_IST_PUB_CHANGE="",IF(TITLE_IST_PUB="","",TITLE_IST_PUB),TITLE_IST_PUB_CHANGE)</f>
        <v>https://www.gov.spb.ru/gov/otrasl/energ_kom/inform_/standarty-raskrytiya-informacii-komitetom/teplo/</v>
      </c>
      <c r="CA32" s="2082"/>
      <c r="CB32" s="2082"/>
      <c r="CC32" s="2082"/>
      <c r="CD32" s="2082"/>
      <c r="CE32" s="2082"/>
      <c r="CF32" s="2082"/>
      <c r="CG32" s="1660"/>
      <c r="CH32" s="2082" t="str">
        <f>IF(TITLE_IST_PUB_CHANGE="",IF(TITLE_IST_PUB="","",TITLE_IST_PUB),TITLE_IST_PUB_CHANGE)</f>
        <v>https://www.gov.spb.ru/gov/otrasl/energ_kom/inform_/standarty-raskrytiya-informacii-komitetom/teplo/</v>
      </c>
      <c r="CI32" s="2082"/>
      <c r="CJ32" s="2082"/>
      <c r="CK32" s="2082"/>
      <c r="CL32" s="2082"/>
      <c r="CM32" s="2082"/>
      <c r="CN32" s="2082"/>
      <c r="CO32" s="1660"/>
      <c r="CP32" s="314"/>
      <c r="CQ32" s="261"/>
      <c r="CR32" s="360"/>
      <c r="CS32" s="360"/>
      <c r="CT32" s="360"/>
      <c r="CU32" s="360"/>
      <c r="CV32" s="360"/>
    </row>
    <row customHeight="1" ht="14.25" hidden="1">
      <c r="Q33" s="368"/>
      <c r="R33" s="368"/>
      <c r="S33" s="1292"/>
      <c r="T33" s="353"/>
      <c r="U33" s="353"/>
      <c r="V33" s="308"/>
      <c r="W33" s="308"/>
      <c r="X33" s="308"/>
      <c r="Y33" s="308"/>
      <c r="Z33" s="308"/>
      <c r="AA33" s="308"/>
      <c r="AB33" s="308"/>
      <c r="AC33" s="308"/>
      <c r="AD33" s="308"/>
      <c r="AE33" s="308"/>
      <c r="AF33" s="308"/>
      <c r="AG33" s="308"/>
      <c r="AH33" s="308"/>
      <c r="AI33" s="308"/>
      <c r="AJ33" s="308"/>
      <c r="AK33" s="308"/>
      <c r="AL33" s="308"/>
      <c r="AM33" s="308"/>
      <c r="AN33" s="308"/>
      <c r="AO33" s="308"/>
      <c r="AP33" s="308"/>
      <c r="AQ33" s="308"/>
      <c r="AR33" s="308"/>
      <c r="AS33" s="308"/>
      <c r="AT33" s="308"/>
      <c r="AU33" s="308"/>
      <c r="AV33" s="308"/>
      <c r="AW33" s="308"/>
      <c r="AX33" s="308"/>
      <c r="AY33" s="308"/>
      <c r="AZ33" s="308"/>
      <c r="BA33" s="308"/>
      <c r="BB33" s="308"/>
      <c r="BC33" s="308"/>
      <c r="BD33" s="308"/>
      <c r="BE33" s="308"/>
      <c r="BF33" s="308"/>
      <c r="BG33" s="308"/>
      <c r="BH33" s="308"/>
      <c r="BI33" s="308"/>
      <c r="BJ33" s="308"/>
      <c r="BK33" s="308"/>
      <c r="BL33" s="308"/>
      <c r="BM33" s="308"/>
      <c r="BN33" s="308"/>
      <c r="BO33" s="308"/>
      <c r="BP33" s="308"/>
      <c r="BQ33" s="308"/>
      <c r="BR33" s="308"/>
      <c r="BS33" s="308"/>
      <c r="BT33" s="308"/>
      <c r="BU33" s="308"/>
      <c r="BV33" s="308"/>
      <c r="BW33" s="308"/>
      <c r="BX33" s="308"/>
      <c r="BY33" s="308"/>
      <c r="BZ33" s="308"/>
      <c r="CA33" s="308"/>
      <c r="CB33" s="308"/>
      <c r="CC33" s="308"/>
      <c r="CD33" s="308"/>
      <c r="CE33" s="308"/>
      <c r="CF33" s="308"/>
      <c r="CG33" s="308"/>
      <c r="CH33" s="308"/>
      <c r="CI33" s="308"/>
      <c r="CJ33" s="308"/>
      <c r="CK33" s="308"/>
      <c r="CL33" s="308"/>
      <c r="CM33" s="308"/>
      <c r="CN33" s="308"/>
      <c r="CO33" s="308"/>
      <c r="CP33" s="505"/>
    </row>
    <row s="1877" customFormat="1" customHeight="1" ht="18.75" hidden="1">
      <c r="A34" s="1385"/>
      <c r="B34" s="1385"/>
      <c r="C34" s="1385"/>
      <c r="D34" s="1385"/>
      <c r="E34" s="1385"/>
      <c r="F34" s="1385"/>
      <c r="G34" s="1385"/>
      <c r="H34" s="1385"/>
      <c r="I34" s="1385"/>
      <c r="J34" s="1385"/>
      <c r="K34" s="1385"/>
      <c r="L34" s="1386"/>
      <c r="M34" s="1385"/>
      <c r="N34" s="1385"/>
      <c r="O34" s="1385"/>
      <c r="S34" s="2080" t="s">
        <v>429</v>
      </c>
      <c r="T34" s="2080"/>
      <c r="U34" s="1389"/>
      <c r="V34" s="2081" t="str">
        <f>IF(TITLE_DATE_PR_CHANGE="",IF(TITLE_DATE_PR="","",TITLE_DATE_PR),TITLE_DATE_PR_CHANGE)</f>
        <v>45268.58207175926</v>
      </c>
      <c r="W34" s="2081"/>
      <c r="X34" s="2081"/>
      <c r="Y34" s="2081"/>
      <c r="Z34" s="2081"/>
      <c r="AA34" s="2081"/>
      <c r="AB34" s="2081"/>
      <c r="AC34" s="314"/>
      <c r="AD34" s="2081" t="str">
        <f>IF(TITLE_DATE_PR_CHANGE="",IF(TITLE_DATE_PR="","",TITLE_DATE_PR),TITLE_DATE_PR_CHANGE)</f>
        <v>45268.58207175926</v>
      </c>
      <c r="AE34" s="2081"/>
      <c r="AF34" s="2081"/>
      <c r="AG34" s="2081"/>
      <c r="AH34" s="2081"/>
      <c r="AI34" s="2081"/>
      <c r="AJ34" s="2081"/>
      <c r="AK34" s="314"/>
      <c r="AL34" s="2081" t="str">
        <f>IF(TITLE_DATE_PR_CHANGE="",IF(TITLE_DATE_PR="","",TITLE_DATE_PR),TITLE_DATE_PR_CHANGE)</f>
        <v>45268.58207175926</v>
      </c>
      <c r="AM34" s="2081"/>
      <c r="AN34" s="2081"/>
      <c r="AO34" s="2081"/>
      <c r="AP34" s="2081"/>
      <c r="AQ34" s="2081"/>
      <c r="AR34" s="2081"/>
      <c r="AS34" s="1660"/>
      <c r="AT34" s="2081" t="str">
        <f>IF(TITLE_DATE_PR_CHANGE="",IF(TITLE_DATE_PR="","",TITLE_DATE_PR),TITLE_DATE_PR_CHANGE)</f>
        <v>45268.58207175926</v>
      </c>
      <c r="AU34" s="2081"/>
      <c r="AV34" s="2081"/>
      <c r="AW34" s="2081"/>
      <c r="AX34" s="2081"/>
      <c r="AY34" s="2081"/>
      <c r="AZ34" s="2081"/>
      <c r="BA34" s="1660"/>
      <c r="BB34" s="2081" t="str">
        <f>IF(TITLE_DATE_PR_CHANGE="",IF(TITLE_DATE_PR="","",TITLE_DATE_PR),TITLE_DATE_PR_CHANGE)</f>
        <v>45268.58207175926</v>
      </c>
      <c r="BC34" s="2081"/>
      <c r="BD34" s="2081"/>
      <c r="BE34" s="2081"/>
      <c r="BF34" s="2081"/>
      <c r="BG34" s="2081"/>
      <c r="BH34" s="2081"/>
      <c r="BI34" s="1660"/>
      <c r="BJ34" s="2081" t="str">
        <f>IF(TITLE_DATE_PR_CHANGE="",IF(TITLE_DATE_PR="","",TITLE_DATE_PR),TITLE_DATE_PR_CHANGE)</f>
        <v>45268.58207175926</v>
      </c>
      <c r="BK34" s="2081"/>
      <c r="BL34" s="2081"/>
      <c r="BM34" s="2081"/>
      <c r="BN34" s="2081"/>
      <c r="BO34" s="2081"/>
      <c r="BP34" s="2081"/>
      <c r="BQ34" s="1660"/>
      <c r="BR34" s="2081" t="str">
        <f>IF(TITLE_DATE_PR_CHANGE="",IF(TITLE_DATE_PR="","",TITLE_DATE_PR),TITLE_DATE_PR_CHANGE)</f>
        <v>45268.58207175926</v>
      </c>
      <c r="BS34" s="2081"/>
      <c r="BT34" s="2081"/>
      <c r="BU34" s="2081"/>
      <c r="BV34" s="2081"/>
      <c r="BW34" s="2081"/>
      <c r="BX34" s="2081"/>
      <c r="BY34" s="1660"/>
      <c r="BZ34" s="2081" t="str">
        <f>IF(TITLE_DATE_PR_CHANGE="",IF(TITLE_DATE_PR="","",TITLE_DATE_PR),TITLE_DATE_PR_CHANGE)</f>
        <v>45268.58207175926</v>
      </c>
      <c r="CA34" s="2081"/>
      <c r="CB34" s="2081"/>
      <c r="CC34" s="2081"/>
      <c r="CD34" s="2081"/>
      <c r="CE34" s="2081"/>
      <c r="CF34" s="2081"/>
      <c r="CG34" s="1660"/>
      <c r="CH34" s="2081" t="str">
        <f>IF(TITLE_DATE_PR_CHANGE="",IF(TITLE_DATE_PR="","",TITLE_DATE_PR),TITLE_DATE_PR_CHANGE)</f>
        <v>45268.58207175926</v>
      </c>
      <c r="CI34" s="2081"/>
      <c r="CJ34" s="2081"/>
      <c r="CK34" s="2081"/>
      <c r="CL34" s="2081"/>
      <c r="CM34" s="2081"/>
      <c r="CN34" s="2081"/>
      <c r="CO34" s="1660"/>
      <c r="CP34" s="314"/>
      <c r="CQ34" s="261"/>
      <c r="CR34" s="360"/>
      <c r="CS34" s="360"/>
      <c r="CT34" s="360"/>
      <c r="CU34" s="360"/>
      <c r="CV34" s="360"/>
    </row>
    <row s="1877" customFormat="1" customHeight="1" ht="18.75" hidden="1">
      <c r="A35" s="1385"/>
      <c r="B35" s="1385"/>
      <c r="C35" s="1385"/>
      <c r="D35" s="1385"/>
      <c r="E35" s="1385"/>
      <c r="F35" s="1385"/>
      <c r="G35" s="1385"/>
      <c r="H35" s="1385"/>
      <c r="I35" s="1385"/>
      <c r="J35" s="1385"/>
      <c r="K35" s="1385"/>
      <c r="L35" s="1386"/>
      <c r="M35" s="1385"/>
      <c r="N35" s="1385"/>
      <c r="O35" s="1385"/>
      <c r="S35" s="2080" t="s">
        <v>430</v>
      </c>
      <c r="T35" s="2080"/>
      <c r="U35" s="1389"/>
      <c r="V35" s="2082" t="str">
        <f>IF(TITLE_NUMBER_PR_CHANGE="",IF(TITLE_NUMBER_PR="","",TITLE_NUMBER_PR),TITLE_NUMBER_PR_CHANGE)</f>
        <v>237-р</v>
      </c>
      <c r="W35" s="2082"/>
      <c r="X35" s="2082"/>
      <c r="Y35" s="2082"/>
      <c r="Z35" s="2082"/>
      <c r="AA35" s="2082"/>
      <c r="AB35" s="2082"/>
      <c r="AC35" s="314"/>
      <c r="AD35" s="2082" t="str">
        <f>IF(TITLE_NUMBER_PR_CHANGE="",IF(TITLE_NUMBER_PR="","",TITLE_NUMBER_PR),TITLE_NUMBER_PR_CHANGE)</f>
        <v>237-р</v>
      </c>
      <c r="AE35" s="2082"/>
      <c r="AF35" s="2082"/>
      <c r="AG35" s="2082"/>
      <c r="AH35" s="2082"/>
      <c r="AI35" s="2082"/>
      <c r="AJ35" s="2082"/>
      <c r="AK35" s="314"/>
      <c r="AL35" s="2082" t="str">
        <f>IF(TITLE_NUMBER_PR_CHANGE="",IF(TITLE_NUMBER_PR="","",TITLE_NUMBER_PR),TITLE_NUMBER_PR_CHANGE)</f>
        <v>237-р</v>
      </c>
      <c r="AM35" s="2082"/>
      <c r="AN35" s="2082"/>
      <c r="AO35" s="2082"/>
      <c r="AP35" s="2082"/>
      <c r="AQ35" s="2082"/>
      <c r="AR35" s="2082"/>
      <c r="AS35" s="1660"/>
      <c r="AT35" s="2082" t="str">
        <f>IF(TITLE_NUMBER_PR_CHANGE="",IF(TITLE_NUMBER_PR="","",TITLE_NUMBER_PR),TITLE_NUMBER_PR_CHANGE)</f>
        <v>237-р</v>
      </c>
      <c r="AU35" s="2082"/>
      <c r="AV35" s="2082"/>
      <c r="AW35" s="2082"/>
      <c r="AX35" s="2082"/>
      <c r="AY35" s="2082"/>
      <c r="AZ35" s="2082"/>
      <c r="BA35" s="1660"/>
      <c r="BB35" s="2082" t="str">
        <f>IF(TITLE_NUMBER_PR_CHANGE="",IF(TITLE_NUMBER_PR="","",TITLE_NUMBER_PR),TITLE_NUMBER_PR_CHANGE)</f>
        <v>237-р</v>
      </c>
      <c r="BC35" s="2082"/>
      <c r="BD35" s="2082"/>
      <c r="BE35" s="2082"/>
      <c r="BF35" s="2082"/>
      <c r="BG35" s="2082"/>
      <c r="BH35" s="2082"/>
      <c r="BI35" s="1660"/>
      <c r="BJ35" s="2082" t="str">
        <f>IF(TITLE_NUMBER_PR_CHANGE="",IF(TITLE_NUMBER_PR="","",TITLE_NUMBER_PR),TITLE_NUMBER_PR_CHANGE)</f>
        <v>237-р</v>
      </c>
      <c r="BK35" s="2082"/>
      <c r="BL35" s="2082"/>
      <c r="BM35" s="2082"/>
      <c r="BN35" s="2082"/>
      <c r="BO35" s="2082"/>
      <c r="BP35" s="2082"/>
      <c r="BQ35" s="1660"/>
      <c r="BR35" s="2082" t="str">
        <f>IF(TITLE_NUMBER_PR_CHANGE="",IF(TITLE_NUMBER_PR="","",TITLE_NUMBER_PR),TITLE_NUMBER_PR_CHANGE)</f>
        <v>237-р</v>
      </c>
      <c r="BS35" s="2082"/>
      <c r="BT35" s="2082"/>
      <c r="BU35" s="2082"/>
      <c r="BV35" s="2082"/>
      <c r="BW35" s="2082"/>
      <c r="BX35" s="2082"/>
      <c r="BY35" s="1660"/>
      <c r="BZ35" s="2082" t="str">
        <f>IF(TITLE_NUMBER_PR_CHANGE="",IF(TITLE_NUMBER_PR="","",TITLE_NUMBER_PR),TITLE_NUMBER_PR_CHANGE)</f>
        <v>237-р</v>
      </c>
      <c r="CA35" s="2082"/>
      <c r="CB35" s="2082"/>
      <c r="CC35" s="2082"/>
      <c r="CD35" s="2082"/>
      <c r="CE35" s="2082"/>
      <c r="CF35" s="2082"/>
      <c r="CG35" s="1660"/>
      <c r="CH35" s="2082" t="str">
        <f>IF(TITLE_NUMBER_PR_CHANGE="",IF(TITLE_NUMBER_PR="","",TITLE_NUMBER_PR),TITLE_NUMBER_PR_CHANGE)</f>
        <v>237-р</v>
      </c>
      <c r="CI35" s="2082"/>
      <c r="CJ35" s="2082"/>
      <c r="CK35" s="2082"/>
      <c r="CL35" s="2082"/>
      <c r="CM35" s="2082"/>
      <c r="CN35" s="2082"/>
      <c r="CO35" s="1660"/>
      <c r="CP35" s="314"/>
      <c r="CQ35" s="261"/>
      <c r="CR35" s="360"/>
      <c r="CS35" s="360"/>
      <c r="CT35" s="360"/>
      <c r="CU35" s="360"/>
      <c r="CV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431</v>
      </c>
      <c r="AD36" s="314"/>
      <c r="AE36" s="314"/>
      <c r="AF36" s="314"/>
      <c r="AG36" s="314"/>
      <c r="AH36" s="314"/>
      <c r="AI36" s="314"/>
      <c r="AJ36" s="314"/>
      <c r="AK36" s="259" t="s">
        <v>431</v>
      </c>
      <c r="AL36" s="1660"/>
      <c r="AM36" s="1660"/>
      <c r="AN36" s="1660"/>
      <c r="AO36" s="1660"/>
      <c r="AP36" s="1660"/>
      <c r="AQ36" s="1660"/>
      <c r="AR36" s="1660"/>
      <c r="AS36" s="1667" t="s">
        <v>431</v>
      </c>
      <c r="AT36" s="1660"/>
      <c r="AU36" s="1660"/>
      <c r="AV36" s="1660"/>
      <c r="AW36" s="1660"/>
      <c r="AX36" s="1660"/>
      <c r="AY36" s="1660"/>
      <c r="AZ36" s="1660"/>
      <c r="BA36" s="1667" t="s">
        <v>431</v>
      </c>
      <c r="BB36" s="1660"/>
      <c r="BC36" s="1660"/>
      <c r="BD36" s="1660"/>
      <c r="BE36" s="1660"/>
      <c r="BF36" s="1660"/>
      <c r="BG36" s="1660"/>
      <c r="BH36" s="1660"/>
      <c r="BI36" s="1667" t="s">
        <v>431</v>
      </c>
      <c r="BJ36" s="1660"/>
      <c r="BK36" s="1660"/>
      <c r="BL36" s="1660"/>
      <c r="BM36" s="1660"/>
      <c r="BN36" s="1660"/>
      <c r="BO36" s="1660"/>
      <c r="BP36" s="1660"/>
      <c r="BQ36" s="1667" t="s">
        <v>431</v>
      </c>
      <c r="BR36" s="1660"/>
      <c r="BS36" s="1660"/>
      <c r="BT36" s="1660"/>
      <c r="BU36" s="1660"/>
      <c r="BV36" s="1660"/>
      <c r="BW36" s="1660"/>
      <c r="BX36" s="1660"/>
      <c r="BY36" s="1667" t="s">
        <v>431</v>
      </c>
      <c r="BZ36" s="1660"/>
      <c r="CA36" s="1660"/>
      <c r="CB36" s="1660"/>
      <c r="CC36" s="1660"/>
      <c r="CD36" s="1660"/>
      <c r="CE36" s="1660"/>
      <c r="CF36" s="1660"/>
      <c r="CG36" s="1667" t="s">
        <v>431</v>
      </c>
      <c r="CH36" s="1660"/>
      <c r="CI36" s="1660"/>
      <c r="CJ36" s="1660"/>
      <c r="CK36" s="1660"/>
      <c r="CL36" s="1660"/>
      <c r="CM36" s="1660"/>
      <c r="CN36" s="1660"/>
      <c r="CO36" s="1667" t="s">
        <v>431</v>
      </c>
      <c r="CR36" s="360"/>
      <c r="CS36" s="360"/>
      <c r="CT36" s="360"/>
      <c r="CU36" s="360"/>
      <c r="CV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c r="AL37" s="2106" t="s">
        <v>169</v>
      </c>
      <c r="AM37" s="2106"/>
      <c r="AN37" s="2106"/>
      <c r="AO37" s="2106"/>
      <c r="AP37" s="2106"/>
      <c r="AQ37" s="2106"/>
      <c r="AR37" s="2106"/>
      <c r="AS37" s="2106"/>
      <c r="AT37" s="2106" t="s">
        <v>169</v>
      </c>
      <c r="AU37" s="2106"/>
      <c r="AV37" s="2106"/>
      <c r="AW37" s="2106"/>
      <c r="AX37" s="2106"/>
      <c r="AY37" s="2106"/>
      <c r="AZ37" s="2106"/>
      <c r="BA37" s="2106"/>
      <c r="BB37" s="2106" t="s">
        <v>169</v>
      </c>
      <c r="BC37" s="2106"/>
      <c r="BD37" s="2106"/>
      <c r="BE37" s="2106"/>
      <c r="BF37" s="2106"/>
      <c r="BG37" s="2106"/>
      <c r="BH37" s="2106"/>
      <c r="BI37" s="2106"/>
      <c r="BJ37" s="2106" t="s">
        <v>169</v>
      </c>
      <c r="BK37" s="2106"/>
      <c r="BL37" s="2106"/>
      <c r="BM37" s="2106"/>
      <c r="BN37" s="2106"/>
      <c r="BO37" s="2106"/>
      <c r="BP37" s="2106"/>
      <c r="BQ37" s="2106"/>
      <c r="BR37" s="2106" t="s">
        <v>169</v>
      </c>
      <c r="BS37" s="2106"/>
      <c r="BT37" s="2106"/>
      <c r="BU37" s="2106"/>
      <c r="BV37" s="2106"/>
      <c r="BW37" s="2106"/>
      <c r="BX37" s="2106"/>
      <c r="BY37" s="2106"/>
      <c r="BZ37" s="2106" t="s">
        <v>169</v>
      </c>
      <c r="CA37" s="2106"/>
      <c r="CB37" s="2106"/>
      <c r="CC37" s="2106"/>
      <c r="CD37" s="2106"/>
      <c r="CE37" s="2106"/>
      <c r="CF37" s="2106"/>
      <c r="CG37" s="2106"/>
      <c r="CH37" s="2106" t="s">
        <v>169</v>
      </c>
      <c r="CI37" s="2106"/>
      <c r="CJ37" s="2106"/>
      <c r="CK37" s="2106"/>
      <c r="CL37" s="2106"/>
      <c r="CM37" s="2106"/>
      <c r="CN37" s="2106"/>
      <c r="CO37" s="2106"/>
    </row>
    <row customHeight="1" ht="14.25">
      <c r="Q38" s="368"/>
      <c r="R38" s="368"/>
      <c r="S38" s="1953" t="s">
        <v>305</v>
      </c>
      <c r="T38" s="1953"/>
      <c r="U38" s="1953"/>
      <c r="V38" s="1953"/>
      <c r="W38" s="1953"/>
      <c r="X38" s="1953"/>
      <c r="Y38" s="1953"/>
      <c r="Z38" s="1953"/>
      <c r="AA38" s="1953"/>
      <c r="AB38" s="1953"/>
      <c r="AC38" s="1953"/>
      <c r="AD38" s="1953"/>
      <c r="AE38" s="1953"/>
      <c r="AF38" s="1953"/>
      <c r="AG38" s="1953"/>
      <c r="AH38" s="1953"/>
      <c r="AI38" s="1953"/>
      <c r="AJ38" s="1953"/>
      <c r="AK38" s="1953"/>
      <c r="AL38" s="2017" t="s">
        <v>305</v>
      </c>
      <c r="AM38" s="2017"/>
      <c r="AN38" s="2017"/>
      <c r="AO38" s="2017"/>
      <c r="AP38" s="2017"/>
      <c r="AQ38" s="2017"/>
      <c r="AR38" s="2017"/>
      <c r="AS38" s="2017"/>
      <c r="AT38" s="2017" t="s">
        <v>305</v>
      </c>
      <c r="AU38" s="2017"/>
      <c r="AV38" s="2017"/>
      <c r="AW38" s="2017"/>
      <c r="AX38" s="2017"/>
      <c r="AY38" s="2017"/>
      <c r="AZ38" s="2017"/>
      <c r="BA38" s="2017"/>
      <c r="BB38" s="2017" t="s">
        <v>305</v>
      </c>
      <c r="BC38" s="2017"/>
      <c r="BD38" s="2017"/>
      <c r="BE38" s="2017"/>
      <c r="BF38" s="2017"/>
      <c r="BG38" s="2017"/>
      <c r="BH38" s="2017"/>
      <c r="BI38" s="2017"/>
      <c r="BJ38" s="2017" t="s">
        <v>305</v>
      </c>
      <c r="BK38" s="2017"/>
      <c r="BL38" s="2017"/>
      <c r="BM38" s="2017"/>
      <c r="BN38" s="2017"/>
      <c r="BO38" s="2017"/>
      <c r="BP38" s="2017"/>
      <c r="BQ38" s="2017"/>
      <c r="BR38" s="2017" t="s">
        <v>305</v>
      </c>
      <c r="BS38" s="2017"/>
      <c r="BT38" s="2017"/>
      <c r="BU38" s="2017"/>
      <c r="BV38" s="2017"/>
      <c r="BW38" s="2017"/>
      <c r="BX38" s="2017"/>
      <c r="BY38" s="2017"/>
      <c r="BZ38" s="2017" t="s">
        <v>305</v>
      </c>
      <c r="CA38" s="2017"/>
      <c r="CB38" s="2017"/>
      <c r="CC38" s="2017"/>
      <c r="CD38" s="2017"/>
      <c r="CE38" s="2017"/>
      <c r="CF38" s="2017"/>
      <c r="CG38" s="2017"/>
      <c r="CH38" s="2017" t="s">
        <v>305</v>
      </c>
      <c r="CI38" s="2017"/>
      <c r="CJ38" s="2017"/>
      <c r="CK38" s="2017"/>
      <c r="CL38" s="2017"/>
      <c r="CM38" s="2017"/>
      <c r="CN38" s="2017"/>
      <c r="CO38" s="2017"/>
      <c r="CP38" s="1953"/>
      <c r="CQ38" s="1953"/>
    </row>
    <row customHeight="1" ht="14.25">
      <c r="Q39" s="368"/>
      <c r="R39" s="368"/>
      <c r="S39" s="2107" t="s">
        <v>87</v>
      </c>
      <c r="T39" s="2044" t="s">
        <v>432</v>
      </c>
      <c r="U39" s="281"/>
      <c r="V39" s="2108" t="s">
        <v>433</v>
      </c>
      <c r="W39" s="2109"/>
      <c r="X39" s="2109"/>
      <c r="Y39" s="2109"/>
      <c r="Z39" s="2109"/>
      <c r="AA39" s="2109"/>
      <c r="AB39" s="2110"/>
      <c r="AC39" s="2111" t="s">
        <v>434</v>
      </c>
      <c r="AD39" s="2108" t="s">
        <v>433</v>
      </c>
      <c r="AE39" s="2109"/>
      <c r="AF39" s="2109"/>
      <c r="AG39" s="2109"/>
      <c r="AH39" s="2109"/>
      <c r="AI39" s="2109"/>
      <c r="AJ39" s="2110"/>
      <c r="AK39" s="2111" t="s">
        <v>435</v>
      </c>
      <c r="AL39" s="2224" t="s">
        <v>433</v>
      </c>
      <c r="AM39" s="2225"/>
      <c r="AN39" s="2225"/>
      <c r="AO39" s="2225"/>
      <c r="AP39" s="2225"/>
      <c r="AQ39" s="2225"/>
      <c r="AR39" s="2226"/>
      <c r="AS39" s="2111" t="s">
        <v>434</v>
      </c>
      <c r="AT39" s="2224" t="s">
        <v>433</v>
      </c>
      <c r="AU39" s="2225"/>
      <c r="AV39" s="2225"/>
      <c r="AW39" s="2225"/>
      <c r="AX39" s="2225"/>
      <c r="AY39" s="2225"/>
      <c r="AZ39" s="2226"/>
      <c r="BA39" s="2111" t="s">
        <v>434</v>
      </c>
      <c r="BB39" s="2224" t="s">
        <v>433</v>
      </c>
      <c r="BC39" s="2225"/>
      <c r="BD39" s="2225"/>
      <c r="BE39" s="2225"/>
      <c r="BF39" s="2225"/>
      <c r="BG39" s="2225"/>
      <c r="BH39" s="2226"/>
      <c r="BI39" s="2111" t="s">
        <v>434</v>
      </c>
      <c r="BJ39" s="2224" t="s">
        <v>433</v>
      </c>
      <c r="BK39" s="2225"/>
      <c r="BL39" s="2225"/>
      <c r="BM39" s="2225"/>
      <c r="BN39" s="2225"/>
      <c r="BO39" s="2225"/>
      <c r="BP39" s="2226"/>
      <c r="BQ39" s="2111" t="s">
        <v>434</v>
      </c>
      <c r="BR39" s="2224" t="s">
        <v>433</v>
      </c>
      <c r="BS39" s="2225"/>
      <c r="BT39" s="2225"/>
      <c r="BU39" s="2225"/>
      <c r="BV39" s="2225"/>
      <c r="BW39" s="2225"/>
      <c r="BX39" s="2226"/>
      <c r="BY39" s="2111" t="s">
        <v>434</v>
      </c>
      <c r="BZ39" s="2224" t="s">
        <v>433</v>
      </c>
      <c r="CA39" s="2225"/>
      <c r="CB39" s="2225"/>
      <c r="CC39" s="2225"/>
      <c r="CD39" s="2225"/>
      <c r="CE39" s="2225"/>
      <c r="CF39" s="2226"/>
      <c r="CG39" s="2111" t="s">
        <v>434</v>
      </c>
      <c r="CH39" s="2224" t="s">
        <v>433</v>
      </c>
      <c r="CI39" s="2225"/>
      <c r="CJ39" s="2225"/>
      <c r="CK39" s="2225"/>
      <c r="CL39" s="2225"/>
      <c r="CM39" s="2225"/>
      <c r="CN39" s="2226"/>
      <c r="CO39" s="2111" t="s">
        <v>434</v>
      </c>
      <c r="CP39" s="2114" t="s">
        <v>436</v>
      </c>
      <c r="CQ39" s="1953"/>
    </row>
    <row customHeight="1" ht="33.75">
      <c r="Q40" s="368"/>
      <c r="R40" s="368"/>
      <c r="S40" s="2107"/>
      <c r="T40" s="2044"/>
      <c r="U40" s="1026"/>
      <c r="V40" s="2117" t="s">
        <v>437</v>
      </c>
      <c r="W40" s="2098" t="s">
        <v>438</v>
      </c>
      <c r="X40" s="2100" t="s">
        <v>439</v>
      </c>
      <c r="Y40" s="2102"/>
      <c r="Z40" s="2100" t="s">
        <v>452</v>
      </c>
      <c r="AA40" s="2101"/>
      <c r="AB40" s="2102"/>
      <c r="AC40" s="2112"/>
      <c r="AD40" s="2117" t="s">
        <v>437</v>
      </c>
      <c r="AE40" s="2098" t="s">
        <v>438</v>
      </c>
      <c r="AF40" s="2100" t="s">
        <v>439</v>
      </c>
      <c r="AG40" s="2102"/>
      <c r="AH40" s="2100" t="s">
        <v>440</v>
      </c>
      <c r="AI40" s="2101"/>
      <c r="AJ40" s="2102"/>
      <c r="AK40" s="2112"/>
      <c r="AL40" s="2015" t="s">
        <v>437</v>
      </c>
      <c r="AM40" s="2567" t="s">
        <v>438</v>
      </c>
      <c r="AN40" s="1937" t="s">
        <v>439</v>
      </c>
      <c r="AO40" s="1939"/>
      <c r="AP40" s="1937" t="s">
        <v>452</v>
      </c>
      <c r="AQ40" s="2016"/>
      <c r="AR40" s="1939"/>
      <c r="AS40" s="2112"/>
      <c r="AT40" s="2015" t="s">
        <v>437</v>
      </c>
      <c r="AU40" s="2567" t="s">
        <v>438</v>
      </c>
      <c r="AV40" s="1937" t="s">
        <v>439</v>
      </c>
      <c r="AW40" s="1939"/>
      <c r="AX40" s="1937" t="s">
        <v>452</v>
      </c>
      <c r="AY40" s="2016"/>
      <c r="AZ40" s="1939"/>
      <c r="BA40" s="2112"/>
      <c r="BB40" s="2015" t="s">
        <v>437</v>
      </c>
      <c r="BC40" s="2567" t="s">
        <v>438</v>
      </c>
      <c r="BD40" s="1937" t="s">
        <v>439</v>
      </c>
      <c r="BE40" s="1939"/>
      <c r="BF40" s="1937" t="s">
        <v>452</v>
      </c>
      <c r="BG40" s="2016"/>
      <c r="BH40" s="1939"/>
      <c r="BI40" s="2112"/>
      <c r="BJ40" s="2015" t="s">
        <v>437</v>
      </c>
      <c r="BK40" s="2567" t="s">
        <v>438</v>
      </c>
      <c r="BL40" s="1937" t="s">
        <v>439</v>
      </c>
      <c r="BM40" s="1939"/>
      <c r="BN40" s="1937" t="s">
        <v>452</v>
      </c>
      <c r="BO40" s="2016"/>
      <c r="BP40" s="1939"/>
      <c r="BQ40" s="2112"/>
      <c r="BR40" s="2015" t="s">
        <v>437</v>
      </c>
      <c r="BS40" s="2567" t="s">
        <v>438</v>
      </c>
      <c r="BT40" s="1937" t="s">
        <v>439</v>
      </c>
      <c r="BU40" s="1939"/>
      <c r="BV40" s="1937" t="s">
        <v>452</v>
      </c>
      <c r="BW40" s="2016"/>
      <c r="BX40" s="1939"/>
      <c r="BY40" s="2112"/>
      <c r="BZ40" s="2015" t="s">
        <v>437</v>
      </c>
      <c r="CA40" s="2567" t="s">
        <v>438</v>
      </c>
      <c r="CB40" s="1937" t="s">
        <v>439</v>
      </c>
      <c r="CC40" s="1939"/>
      <c r="CD40" s="1937" t="s">
        <v>452</v>
      </c>
      <c r="CE40" s="2016"/>
      <c r="CF40" s="1939"/>
      <c r="CG40" s="2112"/>
      <c r="CH40" s="2015" t="s">
        <v>437</v>
      </c>
      <c r="CI40" s="2567" t="s">
        <v>438</v>
      </c>
      <c r="CJ40" s="1937" t="s">
        <v>439</v>
      </c>
      <c r="CK40" s="1939"/>
      <c r="CL40" s="1937" t="s">
        <v>452</v>
      </c>
      <c r="CM40" s="2016"/>
      <c r="CN40" s="1939"/>
      <c r="CO40" s="2112"/>
      <c r="CP40" s="2115"/>
      <c r="CQ40" s="1953"/>
    </row>
    <row customHeight="1" ht="33.75">
      <c r="A41" s="1387"/>
      <c r="B41" s="1387" t="s">
        <v>134</v>
      </c>
      <c r="C41" s="1387" t="s">
        <v>135</v>
      </c>
      <c r="D41" s="1387" t="s">
        <v>136</v>
      </c>
      <c r="E41" s="1381" t="s">
        <v>441</v>
      </c>
      <c r="F41" s="1381" t="s">
        <v>442</v>
      </c>
      <c r="G41" s="1381" t="s">
        <v>443</v>
      </c>
      <c r="H41" s="1381" t="s">
        <v>444</v>
      </c>
      <c r="I41" s="1381" t="s">
        <v>445</v>
      </c>
      <c r="J41" s="1381" t="s">
        <v>446</v>
      </c>
      <c r="K41" s="1381" t="s">
        <v>447</v>
      </c>
      <c r="L41" s="1381" t="s">
        <v>422</v>
      </c>
      <c r="Q41" s="368"/>
      <c r="R41" s="368"/>
      <c r="S41" s="2107"/>
      <c r="T41" s="2044"/>
      <c r="U41" s="282"/>
      <c r="V41" s="2118"/>
      <c r="W41" s="2099"/>
      <c r="X41" s="1224" t="s">
        <v>448</v>
      </c>
      <c r="Y41" s="1224" t="s">
        <v>449</v>
      </c>
      <c r="Z41" s="1355" t="s">
        <v>450</v>
      </c>
      <c r="AA41" s="2103" t="s">
        <v>451</v>
      </c>
      <c r="AB41" s="2104"/>
      <c r="AC41" s="2113"/>
      <c r="AD41" s="2118"/>
      <c r="AE41" s="2099"/>
      <c r="AF41" s="1224" t="s">
        <v>448</v>
      </c>
      <c r="AG41" s="1224" t="s">
        <v>449</v>
      </c>
      <c r="AH41" s="1355" t="s">
        <v>450</v>
      </c>
      <c r="AI41" s="2103" t="s">
        <v>451</v>
      </c>
      <c r="AJ41" s="2104"/>
      <c r="AK41" s="2113"/>
      <c r="AL41" s="2072"/>
      <c r="AM41" s="797"/>
      <c r="AN41" s="2360" t="s">
        <v>448</v>
      </c>
      <c r="AO41" s="2360" t="s">
        <v>449</v>
      </c>
      <c r="AP41" s="2360" t="s">
        <v>450</v>
      </c>
      <c r="AQ41" s="2050" t="s">
        <v>451</v>
      </c>
      <c r="AR41" s="2066"/>
      <c r="AS41" s="2113"/>
      <c r="AT41" s="2072"/>
      <c r="AU41" s="797"/>
      <c r="AV41" s="2360" t="s">
        <v>448</v>
      </c>
      <c r="AW41" s="2360" t="s">
        <v>449</v>
      </c>
      <c r="AX41" s="2360" t="s">
        <v>450</v>
      </c>
      <c r="AY41" s="2050" t="s">
        <v>451</v>
      </c>
      <c r="AZ41" s="2066"/>
      <c r="BA41" s="2113"/>
      <c r="BB41" s="2072"/>
      <c r="BC41" s="797"/>
      <c r="BD41" s="2360" t="s">
        <v>448</v>
      </c>
      <c r="BE41" s="2360" t="s">
        <v>449</v>
      </c>
      <c r="BF41" s="2360" t="s">
        <v>450</v>
      </c>
      <c r="BG41" s="2050" t="s">
        <v>451</v>
      </c>
      <c r="BH41" s="2066"/>
      <c r="BI41" s="2113"/>
      <c r="BJ41" s="2072"/>
      <c r="BK41" s="797"/>
      <c r="BL41" s="2360" t="s">
        <v>448</v>
      </c>
      <c r="BM41" s="2360" t="s">
        <v>449</v>
      </c>
      <c r="BN41" s="2360" t="s">
        <v>450</v>
      </c>
      <c r="BO41" s="2050" t="s">
        <v>451</v>
      </c>
      <c r="BP41" s="2066"/>
      <c r="BQ41" s="2113"/>
      <c r="BR41" s="2072"/>
      <c r="BS41" s="797"/>
      <c r="BT41" s="2360" t="s">
        <v>448</v>
      </c>
      <c r="BU41" s="2360" t="s">
        <v>449</v>
      </c>
      <c r="BV41" s="2360" t="s">
        <v>450</v>
      </c>
      <c r="BW41" s="2050" t="s">
        <v>451</v>
      </c>
      <c r="BX41" s="2066"/>
      <c r="BY41" s="2113"/>
      <c r="BZ41" s="2072"/>
      <c r="CA41" s="797"/>
      <c r="CB41" s="2360" t="s">
        <v>448</v>
      </c>
      <c r="CC41" s="2360" t="s">
        <v>449</v>
      </c>
      <c r="CD41" s="2360" t="s">
        <v>450</v>
      </c>
      <c r="CE41" s="2050" t="s">
        <v>451</v>
      </c>
      <c r="CF41" s="2066"/>
      <c r="CG41" s="2113"/>
      <c r="CH41" s="2072"/>
      <c r="CI41" s="797"/>
      <c r="CJ41" s="2360" t="s">
        <v>448</v>
      </c>
      <c r="CK41" s="2360" t="s">
        <v>449</v>
      </c>
      <c r="CL41" s="2360" t="s">
        <v>450</v>
      </c>
      <c r="CM41" s="2050" t="s">
        <v>451</v>
      </c>
      <c r="CN41" s="2066"/>
      <c r="CO41" s="2113"/>
      <c r="CP41" s="2116"/>
      <c r="CQ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108</v>
      </c>
      <c r="T42" s="1268" t="s">
        <v>109</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2105">
        <f>OFFSET(AL42,0,-1)+1</f>
        <v>3</v>
      </c>
      <c r="AM42" s="2105"/>
      <c r="AN42" s="2105">
        <f>OFFSET(AN42,0,-1)+1</f>
        <v>1</v>
      </c>
      <c r="AO42" s="2105">
        <f>OFFSET(AO42,0,-1)+1</f>
        <v>2</v>
      </c>
      <c r="AP42" s="2105">
        <f>OFFSET(AP42,0,-1)+1</f>
        <v>3</v>
      </c>
      <c r="AQ42" s="2105">
        <f>OFFSET(AQ42,0,-1)+1</f>
        <v>4</v>
      </c>
      <c r="AR42" s="2105"/>
      <c r="AS42" s="2105">
        <f>OFFSET(AS42,0,-2)+1</f>
        <v>5</v>
      </c>
      <c r="AT42" s="2105">
        <f>OFFSET(AT42,0,-1)+1</f>
        <v>3</v>
      </c>
      <c r="AU42" s="2105"/>
      <c r="AV42" s="2105">
        <f>OFFSET(AV42,0,-1)+1</f>
        <v>1</v>
      </c>
      <c r="AW42" s="2105">
        <f>OFFSET(AW42,0,-1)+1</f>
        <v>2</v>
      </c>
      <c r="AX42" s="2105">
        <f>OFFSET(AX42,0,-1)+1</f>
        <v>3</v>
      </c>
      <c r="AY42" s="2105">
        <f>OFFSET(AY42,0,-1)+1</f>
        <v>4</v>
      </c>
      <c r="AZ42" s="2105"/>
      <c r="BA42" s="2105">
        <f>OFFSET(BA42,0,-2)+1</f>
        <v>5</v>
      </c>
      <c r="BB42" s="2105">
        <f>OFFSET(BB42,0,-1)+1</f>
        <v>3</v>
      </c>
      <c r="BC42" s="2105"/>
      <c r="BD42" s="2105">
        <f>OFFSET(BD42,0,-1)+1</f>
        <v>1</v>
      </c>
      <c r="BE42" s="2105">
        <f>OFFSET(BE42,0,-1)+1</f>
        <v>2</v>
      </c>
      <c r="BF42" s="2105">
        <f>OFFSET(BF42,0,-1)+1</f>
        <v>3</v>
      </c>
      <c r="BG42" s="2105">
        <f>OFFSET(BG42,0,-1)+1</f>
        <v>4</v>
      </c>
      <c r="BH42" s="2105"/>
      <c r="BI42" s="2105">
        <f>OFFSET(BI42,0,-2)+1</f>
        <v>5</v>
      </c>
      <c r="BJ42" s="2105">
        <f>OFFSET(BJ42,0,-1)+1</f>
        <v>3</v>
      </c>
      <c r="BK42" s="2105"/>
      <c r="BL42" s="2105">
        <f>OFFSET(BL42,0,-1)+1</f>
        <v>1</v>
      </c>
      <c r="BM42" s="2105">
        <f>OFFSET(BM42,0,-1)+1</f>
        <v>2</v>
      </c>
      <c r="BN42" s="2105">
        <f>OFFSET(BN42,0,-1)+1</f>
        <v>3</v>
      </c>
      <c r="BO42" s="2105">
        <f>OFFSET(BO42,0,-1)+1</f>
        <v>4</v>
      </c>
      <c r="BP42" s="2105"/>
      <c r="BQ42" s="2105">
        <f>OFFSET(BQ42,0,-2)+1</f>
        <v>5</v>
      </c>
      <c r="BR42" s="2105">
        <f>OFFSET(BR42,0,-1)+1</f>
        <v>3</v>
      </c>
      <c r="BS42" s="2105"/>
      <c r="BT42" s="2105">
        <f>OFFSET(BT42,0,-1)+1</f>
        <v>1</v>
      </c>
      <c r="BU42" s="2105">
        <f>OFFSET(BU42,0,-1)+1</f>
        <v>2</v>
      </c>
      <c r="BV42" s="2105">
        <f>OFFSET(BV42,0,-1)+1</f>
        <v>3</v>
      </c>
      <c r="BW42" s="2105">
        <f>OFFSET(BW42,0,-1)+1</f>
        <v>4</v>
      </c>
      <c r="BX42" s="2105"/>
      <c r="BY42" s="2105">
        <f>OFFSET(BY42,0,-2)+1</f>
        <v>5</v>
      </c>
      <c r="BZ42" s="2105">
        <f>OFFSET(BZ42,0,-1)+1</f>
        <v>3</v>
      </c>
      <c r="CA42" s="2105"/>
      <c r="CB42" s="2105">
        <f>OFFSET(CB42,0,-1)+1</f>
        <v>1</v>
      </c>
      <c r="CC42" s="2105">
        <f>OFFSET(CC42,0,-1)+1</f>
        <v>2</v>
      </c>
      <c r="CD42" s="2105">
        <f>OFFSET(CD42,0,-1)+1</f>
        <v>3</v>
      </c>
      <c r="CE42" s="2105">
        <f>OFFSET(CE42,0,-1)+1</f>
        <v>4</v>
      </c>
      <c r="CF42" s="2105"/>
      <c r="CG42" s="2105">
        <f>OFFSET(CG42,0,-2)+1</f>
        <v>5</v>
      </c>
      <c r="CH42" s="2105">
        <f>OFFSET(CH42,0,-1)+1</f>
        <v>3</v>
      </c>
      <c r="CI42" s="2105"/>
      <c r="CJ42" s="2105">
        <f>OFFSET(CJ42,0,-1)+1</f>
        <v>1</v>
      </c>
      <c r="CK42" s="2105">
        <f>OFFSET(CK42,0,-1)+1</f>
        <v>2</v>
      </c>
      <c r="CL42" s="2105">
        <f>OFFSET(CL42,0,-1)+1</f>
        <v>3</v>
      </c>
      <c r="CM42" s="2105">
        <f>OFFSET(CM42,0,-1)+1</f>
        <v>4</v>
      </c>
      <c r="CN42" s="2105"/>
      <c r="CO42" s="2105">
        <f>OFFSET(CO42,0,-2)+1</f>
        <v>5</v>
      </c>
      <c r="CP42" s="1250">
        <f>OFFSET(CP42,0,-1)</f>
        <v>5</v>
      </c>
      <c r="CQ42" s="1352">
        <f>OFFSET(CQ42,0,-1)+1</f>
        <v>6</v>
      </c>
      <c r="CR42" s="507"/>
      <c r="CS42" s="507"/>
      <c r="CT42" s="507"/>
      <c r="CU42" s="507"/>
      <c r="CV42" s="507"/>
    </row>
    <row customHeight="1" ht="21">
      <c r="A43" s="1380" t="s">
        <v>162</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1</v>
      </c>
      <c r="T43" s="278" t="s">
        <v>122</v>
      </c>
      <c r="U43" s="280"/>
      <c r="V43" s="2083"/>
      <c r="W43" s="2084"/>
      <c r="X43" s="2084"/>
      <c r="Y43" s="2084"/>
      <c r="Z43" s="2084"/>
      <c r="AA43" s="2084"/>
      <c r="AB43" s="2084"/>
      <c r="AC43" s="2085"/>
      <c r="AD43" s="2083" t="str">
        <f>INDEX(PT_DIFFERENTIATION_NTAR,MATCH(A43,PT_DIFFERENTIATION_NTAR_ID,0))</f>
        <v>Тарифы на тепловую энергию, поставляемую обществом с ограниченной ответственностью "ПРОМ ИМПУЛЬС" потребителям, расположенным на территории Санкт-Петербурга</v>
      </c>
      <c r="AE43" s="2084"/>
      <c r="AF43" s="2084"/>
      <c r="AG43" s="2084"/>
      <c r="AH43" s="2084"/>
      <c r="AI43" s="2084"/>
      <c r="AJ43" s="2084"/>
      <c r="AK43" s="2084"/>
      <c r="AL43" s="2083"/>
      <c r="AM43" s="2084"/>
      <c r="AN43" s="2084"/>
      <c r="AO43" s="2084"/>
      <c r="AP43" s="2084"/>
      <c r="AQ43" s="2084"/>
      <c r="AR43" s="2084"/>
      <c r="AS43" s="2085"/>
      <c r="AT43" s="2083"/>
      <c r="AU43" s="2084"/>
      <c r="AV43" s="2084"/>
      <c r="AW43" s="2084"/>
      <c r="AX43" s="2084"/>
      <c r="AY43" s="2084"/>
      <c r="AZ43" s="2084"/>
      <c r="BA43" s="2085"/>
      <c r="BB43" s="2083"/>
      <c r="BC43" s="2084"/>
      <c r="BD43" s="2084"/>
      <c r="BE43" s="2084"/>
      <c r="BF43" s="2084"/>
      <c r="BG43" s="2084"/>
      <c r="BH43" s="2084"/>
      <c r="BI43" s="2085"/>
      <c r="BJ43" s="2083"/>
      <c r="BK43" s="2084"/>
      <c r="BL43" s="2084"/>
      <c r="BM43" s="2084"/>
      <c r="BN43" s="2084"/>
      <c r="BO43" s="2084"/>
      <c r="BP43" s="2084"/>
      <c r="BQ43" s="2085"/>
      <c r="BR43" s="2083"/>
      <c r="BS43" s="2084"/>
      <c r="BT43" s="2084"/>
      <c r="BU43" s="2084"/>
      <c r="BV43" s="2084"/>
      <c r="BW43" s="2084"/>
      <c r="BX43" s="2084"/>
      <c r="BY43" s="2085"/>
      <c r="BZ43" s="2083"/>
      <c r="CA43" s="2084"/>
      <c r="CB43" s="2084"/>
      <c r="CC43" s="2084"/>
      <c r="CD43" s="2084"/>
      <c r="CE43" s="2084"/>
      <c r="CF43" s="2084"/>
      <c r="CG43" s="2085"/>
      <c r="CH43" s="2083"/>
      <c r="CI43" s="2084"/>
      <c r="CJ43" s="2084"/>
      <c r="CK43" s="2084"/>
      <c r="CL43" s="2084"/>
      <c r="CM43" s="2084"/>
      <c r="CN43" s="2084"/>
      <c r="CO43" s="2085"/>
      <c r="CP43" s="2085"/>
      <c r="CQ43" s="127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CS43" s="496"/>
      <c r="CT43" s="496" t="str">
        <f>IF(T43="","",T43)</f>
        <v>Наименование тарифа</v>
      </c>
      <c r="CU43" s="496"/>
      <c r="CV43" s="496"/>
    </row>
    <row customHeight="1" ht="21">
      <c r="A44" s="1380" t="s">
        <v>162</v>
      </c>
      <c r="B44" s="1380" t="s">
        <v>163</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1.1</v>
      </c>
      <c r="T44" s="290" t="s">
        <v>404</v>
      </c>
      <c r="U44" s="280"/>
      <c r="V44" s="2083"/>
      <c r="W44" s="2084"/>
      <c r="X44" s="2084"/>
      <c r="Y44" s="2084"/>
      <c r="Z44" s="2084"/>
      <c r="AA44" s="2084"/>
      <c r="AB44" s="2084"/>
      <c r="AC44" s="2085"/>
      <c r="AD44" s="2083" t="str">
        <f>INDEX(PT_DIFFERENTIATION_TER,MATCH(B44,PT_DIFFERENTIATION_TER_ID,0))</f>
        <v>Территория 1</v>
      </c>
      <c r="AE44" s="2084"/>
      <c r="AF44" s="2084"/>
      <c r="AG44" s="2084"/>
      <c r="AH44" s="2084"/>
      <c r="AI44" s="2084"/>
      <c r="AJ44" s="2084"/>
      <c r="AK44" s="2084"/>
      <c r="AL44" s="2083"/>
      <c r="AM44" s="2084"/>
      <c r="AN44" s="2084"/>
      <c r="AO44" s="2084"/>
      <c r="AP44" s="2084"/>
      <c r="AQ44" s="2084"/>
      <c r="AR44" s="2084"/>
      <c r="AS44" s="2085"/>
      <c r="AT44" s="2083"/>
      <c r="AU44" s="2084"/>
      <c r="AV44" s="2084"/>
      <c r="AW44" s="2084"/>
      <c r="AX44" s="2084"/>
      <c r="AY44" s="2084"/>
      <c r="AZ44" s="2084"/>
      <c r="BA44" s="2085"/>
      <c r="BB44" s="2083"/>
      <c r="BC44" s="2084"/>
      <c r="BD44" s="2084"/>
      <c r="BE44" s="2084"/>
      <c r="BF44" s="2084"/>
      <c r="BG44" s="2084"/>
      <c r="BH44" s="2084"/>
      <c r="BI44" s="2085"/>
      <c r="BJ44" s="2083"/>
      <c r="BK44" s="2084"/>
      <c r="BL44" s="2084"/>
      <c r="BM44" s="2084"/>
      <c r="BN44" s="2084"/>
      <c r="BO44" s="2084"/>
      <c r="BP44" s="2084"/>
      <c r="BQ44" s="2085"/>
      <c r="BR44" s="2083"/>
      <c r="BS44" s="2084"/>
      <c r="BT44" s="2084"/>
      <c r="BU44" s="2084"/>
      <c r="BV44" s="2084"/>
      <c r="BW44" s="2084"/>
      <c r="BX44" s="2084"/>
      <c r="BY44" s="2085"/>
      <c r="BZ44" s="2083"/>
      <c r="CA44" s="2084"/>
      <c r="CB44" s="2084"/>
      <c r="CC44" s="2084"/>
      <c r="CD44" s="2084"/>
      <c r="CE44" s="2084"/>
      <c r="CF44" s="2084"/>
      <c r="CG44" s="2085"/>
      <c r="CH44" s="2083"/>
      <c r="CI44" s="2084"/>
      <c r="CJ44" s="2084"/>
      <c r="CK44" s="2084"/>
      <c r="CL44" s="2084"/>
      <c r="CM44" s="2084"/>
      <c r="CN44" s="2084"/>
      <c r="CO44" s="2085"/>
      <c r="CP44" s="2085"/>
      <c r="CQ44" s="1273" t="s">
        <v>405</v>
      </c>
      <c r="CS44" s="496"/>
      <c r="CT44" s="496" t="str">
        <f>IF(T44="","",T44)</f>
        <v>Территория действия тарифа</v>
      </c>
      <c r="CU44" s="496"/>
      <c r="CV44" s="496"/>
    </row>
    <row customHeight="1" ht="23.25">
      <c r="A45" s="1380" t="s">
        <v>162</v>
      </c>
      <c r="B45" s="1380" t="s">
        <v>163</v>
      </c>
      <c r="C45" s="1380" t="s">
        <v>164</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1.1.1</v>
      </c>
      <c r="T45" s="291" t="s">
        <v>406</v>
      </c>
      <c r="U45" s="280"/>
      <c r="V45" s="2083"/>
      <c r="W45" s="2084"/>
      <c r="X45" s="2084"/>
      <c r="Y45" s="2084"/>
      <c r="Z45" s="2084"/>
      <c r="AA45" s="2084"/>
      <c r="AB45" s="2084"/>
      <c r="AC45" s="2085"/>
      <c r="AD45" s="2083" t="str">
        <f>INDEX(PT_DIFFERENTIATION_CS,MATCH(C45,PT_DIFFERENTIATION_CS_ID,0))</f>
        <v>без дифференциации</v>
      </c>
      <c r="AE45" s="2084"/>
      <c r="AF45" s="2084"/>
      <c r="AG45" s="2084"/>
      <c r="AH45" s="2084"/>
      <c r="AI45" s="2084"/>
      <c r="AJ45" s="2084"/>
      <c r="AK45" s="2084"/>
      <c r="AL45" s="2083"/>
      <c r="AM45" s="2084"/>
      <c r="AN45" s="2084"/>
      <c r="AO45" s="2084"/>
      <c r="AP45" s="2084"/>
      <c r="AQ45" s="2084"/>
      <c r="AR45" s="2084"/>
      <c r="AS45" s="2085"/>
      <c r="AT45" s="2083"/>
      <c r="AU45" s="2084"/>
      <c r="AV45" s="2084"/>
      <c r="AW45" s="2084"/>
      <c r="AX45" s="2084"/>
      <c r="AY45" s="2084"/>
      <c r="AZ45" s="2084"/>
      <c r="BA45" s="2085"/>
      <c r="BB45" s="2083"/>
      <c r="BC45" s="2084"/>
      <c r="BD45" s="2084"/>
      <c r="BE45" s="2084"/>
      <c r="BF45" s="2084"/>
      <c r="BG45" s="2084"/>
      <c r="BH45" s="2084"/>
      <c r="BI45" s="2085"/>
      <c r="BJ45" s="2083"/>
      <c r="BK45" s="2084"/>
      <c r="BL45" s="2084"/>
      <c r="BM45" s="2084"/>
      <c r="BN45" s="2084"/>
      <c r="BO45" s="2084"/>
      <c r="BP45" s="2084"/>
      <c r="BQ45" s="2085"/>
      <c r="BR45" s="2083"/>
      <c r="BS45" s="2084"/>
      <c r="BT45" s="2084"/>
      <c r="BU45" s="2084"/>
      <c r="BV45" s="2084"/>
      <c r="BW45" s="2084"/>
      <c r="BX45" s="2084"/>
      <c r="BY45" s="2085"/>
      <c r="BZ45" s="2083"/>
      <c r="CA45" s="2084"/>
      <c r="CB45" s="2084"/>
      <c r="CC45" s="2084"/>
      <c r="CD45" s="2084"/>
      <c r="CE45" s="2084"/>
      <c r="CF45" s="2084"/>
      <c r="CG45" s="2085"/>
      <c r="CH45" s="2083"/>
      <c r="CI45" s="2084"/>
      <c r="CJ45" s="2084"/>
      <c r="CK45" s="2084"/>
      <c r="CL45" s="2084"/>
      <c r="CM45" s="2084"/>
      <c r="CN45" s="2084"/>
      <c r="CO45" s="2085"/>
      <c r="CP45" s="2085"/>
      <c r="CQ45" s="1273" t="s">
        <v>407</v>
      </c>
      <c r="CS45" s="496"/>
      <c r="CT45" s="496" t="str">
        <f>IF(T45="","",T45)</f>
        <v>Наименование системы теплоснабжения </v>
      </c>
      <c r="CU45" s="496"/>
      <c r="CV45" s="496"/>
    </row>
    <row customHeight="1" ht="21">
      <c r="A46" s="1380" t="s">
        <v>162</v>
      </c>
      <c r="B46" s="1380" t="s">
        <v>163</v>
      </c>
      <c r="C46" s="1380" t="s">
        <v>164</v>
      </c>
      <c r="D46" s="1380" t="s">
        <v>165</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1.1.1.1</v>
      </c>
      <c r="T46" s="292" t="s">
        <v>408</v>
      </c>
      <c r="U46" s="280"/>
      <c r="V46" s="2083"/>
      <c r="W46" s="2084"/>
      <c r="X46" s="2084"/>
      <c r="Y46" s="2084"/>
      <c r="Z46" s="2084"/>
      <c r="AA46" s="2084"/>
      <c r="AB46" s="2084"/>
      <c r="AC46" s="2085"/>
      <c r="AD46" s="2083" t="str">
        <f>INDEX(PT_DIFFERENTIATION_IST_TE,MATCH(D46,PT_DIFFERENTIATION_IST_TE_ID,0))</f>
        <v>без дифференциации</v>
      </c>
      <c r="AE46" s="2084"/>
      <c r="AF46" s="2084"/>
      <c r="AG46" s="2084"/>
      <c r="AH46" s="2084"/>
      <c r="AI46" s="2084"/>
      <c r="AJ46" s="2084"/>
      <c r="AK46" s="2084"/>
      <c r="AL46" s="2083"/>
      <c r="AM46" s="2084"/>
      <c r="AN46" s="2084"/>
      <c r="AO46" s="2084"/>
      <c r="AP46" s="2084"/>
      <c r="AQ46" s="2084"/>
      <c r="AR46" s="2084"/>
      <c r="AS46" s="2085"/>
      <c r="AT46" s="2083"/>
      <c r="AU46" s="2084"/>
      <c r="AV46" s="2084"/>
      <c r="AW46" s="2084"/>
      <c r="AX46" s="2084"/>
      <c r="AY46" s="2084"/>
      <c r="AZ46" s="2084"/>
      <c r="BA46" s="2085"/>
      <c r="BB46" s="2083"/>
      <c r="BC46" s="2084"/>
      <c r="BD46" s="2084"/>
      <c r="BE46" s="2084"/>
      <c r="BF46" s="2084"/>
      <c r="BG46" s="2084"/>
      <c r="BH46" s="2084"/>
      <c r="BI46" s="2085"/>
      <c r="BJ46" s="2083"/>
      <c r="BK46" s="2084"/>
      <c r="BL46" s="2084"/>
      <c r="BM46" s="2084"/>
      <c r="BN46" s="2084"/>
      <c r="BO46" s="2084"/>
      <c r="BP46" s="2084"/>
      <c r="BQ46" s="2085"/>
      <c r="BR46" s="2083"/>
      <c r="BS46" s="2084"/>
      <c r="BT46" s="2084"/>
      <c r="BU46" s="2084"/>
      <c r="BV46" s="2084"/>
      <c r="BW46" s="2084"/>
      <c r="BX46" s="2084"/>
      <c r="BY46" s="2085"/>
      <c r="BZ46" s="2083"/>
      <c r="CA46" s="2084"/>
      <c r="CB46" s="2084"/>
      <c r="CC46" s="2084"/>
      <c r="CD46" s="2084"/>
      <c r="CE46" s="2084"/>
      <c r="CF46" s="2084"/>
      <c r="CG46" s="2085"/>
      <c r="CH46" s="2083"/>
      <c r="CI46" s="2084"/>
      <c r="CJ46" s="2084"/>
      <c r="CK46" s="2084"/>
      <c r="CL46" s="2084"/>
      <c r="CM46" s="2084"/>
      <c r="CN46" s="2084"/>
      <c r="CO46" s="2085"/>
      <c r="CP46" s="2085"/>
      <c r="CQ46" s="1273" t="s">
        <v>409</v>
      </c>
      <c r="CS46" s="496"/>
      <c r="CT46" s="496" t="str">
        <f>IF(T46="","",T46)</f>
        <v>Источник тепловой энергии  </v>
      </c>
      <c r="CU46" s="496"/>
      <c r="CV46" s="496"/>
    </row>
    <row customHeight="1" ht="47.25">
      <c r="A47" s="1380" t="s">
        <v>162</v>
      </c>
      <c r="B47" s="1380" t="s">
        <v>163</v>
      </c>
      <c r="C47" s="1380" t="s">
        <v>164</v>
      </c>
      <c r="D47" s="1380" t="s">
        <v>165</v>
      </c>
      <c r="E47" s="2090"/>
      <c r="F47" s="2090"/>
      <c r="G47" s="2090"/>
      <c r="H47" s="2090"/>
      <c r="I47" s="2091" t="str">
        <f>S46&amp;".1"</f>
        <v>1.1.1.1.1</v>
      </c>
      <c r="J47" s="1380"/>
      <c r="K47" s="1380"/>
      <c r="L47" s="1381" t="s">
        <v>410</v>
      </c>
      <c r="P47" s="2093">
        <v>1</v>
      </c>
      <c r="Q47" s="1348"/>
      <c r="R47" s="344"/>
      <c r="S47" s="1353" t="str">
        <f>$I47</f>
        <v>1.1.1.1.1</v>
      </c>
      <c r="T47" s="266" t="s">
        <v>411</v>
      </c>
      <c r="U47" s="280"/>
      <c r="V47" s="2077"/>
      <c r="W47" s="2078"/>
      <c r="X47" s="2078"/>
      <c r="Y47" s="2078"/>
      <c r="Z47" s="2078"/>
      <c r="AA47" s="2078"/>
      <c r="AB47" s="2078"/>
      <c r="AC47" s="2079"/>
      <c r="AD47" s="2077" t="s">
        <v>453</v>
      </c>
      <c r="AE47" s="2078"/>
      <c r="AF47" s="2078"/>
      <c r="AG47" s="2078"/>
      <c r="AH47" s="2078"/>
      <c r="AI47" s="2078"/>
      <c r="AJ47" s="2078"/>
      <c r="AK47" s="2078"/>
      <c r="AL47" s="2077"/>
      <c r="AM47" s="2078"/>
      <c r="AN47" s="2078"/>
      <c r="AO47" s="2078"/>
      <c r="AP47" s="2078"/>
      <c r="AQ47" s="2078"/>
      <c r="AR47" s="2078"/>
      <c r="AS47" s="2079"/>
      <c r="AT47" s="2077"/>
      <c r="AU47" s="2078"/>
      <c r="AV47" s="2078"/>
      <c r="AW47" s="2078"/>
      <c r="AX47" s="2078"/>
      <c r="AY47" s="2078"/>
      <c r="AZ47" s="2078"/>
      <c r="BA47" s="2079"/>
      <c r="BB47" s="2077"/>
      <c r="BC47" s="2078"/>
      <c r="BD47" s="2078"/>
      <c r="BE47" s="2078"/>
      <c r="BF47" s="2078"/>
      <c r="BG47" s="2078"/>
      <c r="BH47" s="2078"/>
      <c r="BI47" s="2079"/>
      <c r="BJ47" s="2077"/>
      <c r="BK47" s="2078"/>
      <c r="BL47" s="2078"/>
      <c r="BM47" s="2078"/>
      <c r="BN47" s="2078"/>
      <c r="BO47" s="2078"/>
      <c r="BP47" s="2078"/>
      <c r="BQ47" s="2079"/>
      <c r="BR47" s="2077"/>
      <c r="BS47" s="2078"/>
      <c r="BT47" s="2078"/>
      <c r="BU47" s="2078"/>
      <c r="BV47" s="2078"/>
      <c r="BW47" s="2078"/>
      <c r="BX47" s="2078"/>
      <c r="BY47" s="2079"/>
      <c r="BZ47" s="2077"/>
      <c r="CA47" s="2078"/>
      <c r="CB47" s="2078"/>
      <c r="CC47" s="2078"/>
      <c r="CD47" s="2078"/>
      <c r="CE47" s="2078"/>
      <c r="CF47" s="2078"/>
      <c r="CG47" s="2079"/>
      <c r="CH47" s="2077"/>
      <c r="CI47" s="2078"/>
      <c r="CJ47" s="2078"/>
      <c r="CK47" s="2078"/>
      <c r="CL47" s="2078"/>
      <c r="CM47" s="2078"/>
      <c r="CN47" s="2078"/>
      <c r="CO47" s="2079"/>
      <c r="CP47" s="2079"/>
      <c r="CQ47" s="1273" t="s">
        <v>412</v>
      </c>
      <c r="CS47" s="496"/>
      <c r="CT47" s="496" t="str">
        <f>IF(T47="","",T47)</f>
        <v>Схема подключения теплопотребляющей установки к коллектору источника тепловой энергии</v>
      </c>
      <c r="CU47" s="496"/>
      <c r="CV47" s="496"/>
    </row>
    <row customHeight="1" ht="21">
      <c r="A48" s="1380" t="s">
        <v>162</v>
      </c>
      <c r="B48" s="1380" t="s">
        <v>163</v>
      </c>
      <c r="C48" s="1380" t="s">
        <v>164</v>
      </c>
      <c r="D48" s="1380" t="s">
        <v>165</v>
      </c>
      <c r="E48" s="2090"/>
      <c r="F48" s="2090"/>
      <c r="G48" s="2090"/>
      <c r="H48" s="2090"/>
      <c r="I48" s="2092"/>
      <c r="J48" s="2091" t="str">
        <f>I47&amp;".1"</f>
        <v>1.1.1.1.1.1</v>
      </c>
      <c r="K48" s="1380"/>
      <c r="L48" s="1381" t="s">
        <v>413</v>
      </c>
      <c r="P48" s="2093"/>
      <c r="Q48" s="2093">
        <v>1</v>
      </c>
      <c r="R48" s="345"/>
      <c r="S48" s="1353" t="str">
        <f>$J48</f>
        <v>1.1.1.1.1.1</v>
      </c>
      <c r="T48" s="267" t="s">
        <v>414</v>
      </c>
      <c r="U48" s="280"/>
      <c r="V48" s="2077"/>
      <c r="W48" s="2078"/>
      <c r="X48" s="2078"/>
      <c r="Y48" s="2078"/>
      <c r="Z48" s="2078"/>
      <c r="AA48" s="2078"/>
      <c r="AB48" s="2078"/>
      <c r="AC48" s="2079"/>
      <c r="AD48" s="2077" t="s">
        <v>454</v>
      </c>
      <c r="AE48" s="2078"/>
      <c r="AF48" s="2078"/>
      <c r="AG48" s="2078"/>
      <c r="AH48" s="2078"/>
      <c r="AI48" s="2078"/>
      <c r="AJ48" s="2078"/>
      <c r="AK48" s="2078"/>
      <c r="AL48" s="2077"/>
      <c r="AM48" s="2078"/>
      <c r="AN48" s="2078"/>
      <c r="AO48" s="2078"/>
      <c r="AP48" s="2078"/>
      <c r="AQ48" s="2078"/>
      <c r="AR48" s="2078"/>
      <c r="AS48" s="2079"/>
      <c r="AT48" s="2077"/>
      <c r="AU48" s="2078"/>
      <c r="AV48" s="2078"/>
      <c r="AW48" s="2078"/>
      <c r="AX48" s="2078"/>
      <c r="AY48" s="2078"/>
      <c r="AZ48" s="2078"/>
      <c r="BA48" s="2079"/>
      <c r="BB48" s="2077"/>
      <c r="BC48" s="2078"/>
      <c r="BD48" s="2078"/>
      <c r="BE48" s="2078"/>
      <c r="BF48" s="2078"/>
      <c r="BG48" s="2078"/>
      <c r="BH48" s="2078"/>
      <c r="BI48" s="2079"/>
      <c r="BJ48" s="2077"/>
      <c r="BK48" s="2078"/>
      <c r="BL48" s="2078"/>
      <c r="BM48" s="2078"/>
      <c r="BN48" s="2078"/>
      <c r="BO48" s="2078"/>
      <c r="BP48" s="2078"/>
      <c r="BQ48" s="2079"/>
      <c r="BR48" s="2077"/>
      <c r="BS48" s="2078"/>
      <c r="BT48" s="2078"/>
      <c r="BU48" s="2078"/>
      <c r="BV48" s="2078"/>
      <c r="BW48" s="2078"/>
      <c r="BX48" s="2078"/>
      <c r="BY48" s="2079"/>
      <c r="BZ48" s="2077"/>
      <c r="CA48" s="2078"/>
      <c r="CB48" s="2078"/>
      <c r="CC48" s="2078"/>
      <c r="CD48" s="2078"/>
      <c r="CE48" s="2078"/>
      <c r="CF48" s="2078"/>
      <c r="CG48" s="2079"/>
      <c r="CH48" s="2077"/>
      <c r="CI48" s="2078"/>
      <c r="CJ48" s="2078"/>
      <c r="CK48" s="2078"/>
      <c r="CL48" s="2078"/>
      <c r="CM48" s="2078"/>
      <c r="CN48" s="2078"/>
      <c r="CO48" s="2079"/>
      <c r="CP48" s="2079"/>
      <c r="CQ48" s="1273" t="s">
        <v>415</v>
      </c>
      <c r="CS48" s="496"/>
      <c r="CT48" s="496" t="str">
        <f>IF(T48="","",T48)</f>
        <v>Группа потребителей</v>
      </c>
      <c r="CU48" s="496"/>
      <c r="CV48" s="496"/>
    </row>
    <row customHeight="1" ht="21">
      <c r="A49" s="1380" t="s">
        <v>162</v>
      </c>
      <c r="B49" s="1380" t="s">
        <v>163</v>
      </c>
      <c r="C49" s="1380" t="s">
        <v>164</v>
      </c>
      <c r="D49" s="1380" t="s">
        <v>165</v>
      </c>
      <c r="E49" s="2090"/>
      <c r="F49" s="2090"/>
      <c r="G49" s="2090"/>
      <c r="H49" s="2090"/>
      <c r="I49" s="2092"/>
      <c r="J49" s="2092"/>
      <c r="K49" s="2091" t="str">
        <f>J48&amp;".1"</f>
        <v>1.1.1.1.1.1.1</v>
      </c>
      <c r="L49" s="1381" t="s">
        <v>416</v>
      </c>
      <c r="P49" s="2093"/>
      <c r="Q49" s="2093"/>
      <c r="R49" s="345">
        <v>1</v>
      </c>
      <c r="S49" s="1353" t="str">
        <f>$K49</f>
        <v>1.1.1.1.1.1.1</v>
      </c>
      <c r="T49" s="1364" t="s">
        <v>455</v>
      </c>
      <c r="U49" s="280"/>
      <c r="V49" s="1377"/>
      <c r="W49" s="1377"/>
      <c r="X49" s="1377"/>
      <c r="Y49" s="1378"/>
      <c r="Z49" s="2087"/>
      <c r="AA49" s="2086" t="s">
        <v>66</v>
      </c>
      <c r="AB49" s="2087"/>
      <c r="AC49" s="2086" t="s">
        <v>66</v>
      </c>
      <c r="AD49" s="746">
        <v>2610.92</v>
      </c>
      <c r="AE49" s="312"/>
      <c r="AF49" s="746"/>
      <c r="AG49" s="1272"/>
      <c r="AH49" s="2425">
        <v>45292.58652777778</v>
      </c>
      <c r="AI49" s="1963" t="s">
        <v>66</v>
      </c>
      <c r="AJ49" s="2096">
        <v>45473.58657407408</v>
      </c>
      <c r="AK49" s="1963" t="s">
        <v>66</v>
      </c>
      <c r="AL49" s="746">
        <v>2822.6</v>
      </c>
      <c r="AM49" s="312"/>
      <c r="AN49" s="746"/>
      <c r="AO49" s="1272"/>
      <c r="AP49" s="2425">
        <v>45474.586643518516</v>
      </c>
      <c r="AQ49" s="1963" t="s">
        <v>66</v>
      </c>
      <c r="AR49" s="2425">
        <v>45657.58673611111</v>
      </c>
      <c r="AS49" s="1963" t="s">
        <v>66</v>
      </c>
      <c r="AT49" s="746">
        <v>2765.11</v>
      </c>
      <c r="AU49" s="312"/>
      <c r="AV49" s="746"/>
      <c r="AW49" s="1272"/>
      <c r="AX49" s="2425">
        <v>45658.58738425926</v>
      </c>
      <c r="AY49" s="1963" t="s">
        <v>66</v>
      </c>
      <c r="AZ49" s="2425">
        <v>46203.587476851855</v>
      </c>
      <c r="BA49" s="1963" t="s">
        <v>66</v>
      </c>
      <c r="BB49" s="746">
        <v>2938.25</v>
      </c>
      <c r="BC49" s="312"/>
      <c r="BD49" s="746"/>
      <c r="BE49" s="1272"/>
      <c r="BF49" s="2425">
        <v>46204.58783564815</v>
      </c>
      <c r="BG49" s="1963" t="s">
        <v>66</v>
      </c>
      <c r="BH49" s="2425">
        <v>46387.58792824074</v>
      </c>
      <c r="BI49" s="1963" t="s">
        <v>66</v>
      </c>
      <c r="BJ49" s="746">
        <v>2855.83</v>
      </c>
      <c r="BK49" s="312"/>
      <c r="BL49" s="746"/>
      <c r="BM49" s="1272"/>
      <c r="BN49" s="2425">
        <v>46388.58829861111</v>
      </c>
      <c r="BO49" s="1963" t="s">
        <v>66</v>
      </c>
      <c r="BP49" s="2425">
        <v>46934.58840277778</v>
      </c>
      <c r="BQ49" s="1963" t="s">
        <v>66</v>
      </c>
      <c r="BR49" s="746">
        <v>3040.08</v>
      </c>
      <c r="BS49" s="312"/>
      <c r="BT49" s="746"/>
      <c r="BU49" s="1272"/>
      <c r="BV49" s="2425">
        <v>46935.58861111111</v>
      </c>
      <c r="BW49" s="1963" t="s">
        <v>66</v>
      </c>
      <c r="BX49" s="2425">
        <v>47118.58875</v>
      </c>
      <c r="BY49" s="1963" t="s">
        <v>56</v>
      </c>
      <c r="BZ49" s="1377"/>
      <c r="CA49" s="1377"/>
      <c r="CB49" s="1377"/>
      <c r="CC49" s="1378"/>
      <c r="CD49" s="2087"/>
      <c r="CE49" s="2086" t="s">
        <v>66</v>
      </c>
      <c r="CF49" s="2087"/>
      <c r="CG49" s="2086" t="s">
        <v>66</v>
      </c>
      <c r="CH49" s="1377"/>
      <c r="CI49" s="1377"/>
      <c r="CJ49" s="1377"/>
      <c r="CK49" s="1378"/>
      <c r="CL49" s="2087"/>
      <c r="CM49" s="2086" t="s">
        <v>66</v>
      </c>
      <c r="CN49" s="2087"/>
      <c r="CO49" s="2086" t="s">
        <v>66</v>
      </c>
      <c r="CP49" s="1365"/>
      <c r="CQ49" s="2119" t="s">
        <v>417</v>
      </c>
      <c r="CR49" s="507">
        <f>STRCHECKDATE(V50:CP50)</f>
      </c>
      <c r="CS49" s="496"/>
      <c r="CT49" s="496" t="str">
        <f>IF(T49="","",T49)</f>
        <v>вода</v>
      </c>
      <c r="CU49" s="496"/>
      <c r="CV49" s="496"/>
    </row>
    <row customHeight="1" ht="0.75">
      <c r="A50" s="1380" t="s">
        <v>162</v>
      </c>
      <c r="B50" s="1380" t="s">
        <v>163</v>
      </c>
      <c r="C50" s="1380" t="s">
        <v>164</v>
      </c>
      <c r="D50" s="1380" t="s">
        <v>165</v>
      </c>
      <c r="E50" s="2090"/>
      <c r="F50" s="2090"/>
      <c r="G50" s="2090"/>
      <c r="H50" s="2090"/>
      <c r="I50" s="2092"/>
      <c r="J50" s="2092"/>
      <c r="K50" s="2091"/>
      <c r="L50" s="1381"/>
      <c r="P50" s="2093"/>
      <c r="Q50" s="2093"/>
      <c r="R50" s="345"/>
      <c r="S50" s="1359"/>
      <c r="T50" s="280"/>
      <c r="U50" s="280"/>
      <c r="V50" s="1377"/>
      <c r="W50" s="1377"/>
      <c r="X50" s="1377"/>
      <c r="Y50" s="316" t="str">
        <f>Z49&amp;"-"&amp;AB49</f>
        <v>-</v>
      </c>
      <c r="Z50" s="2086"/>
      <c r="AA50" s="2086"/>
      <c r="AB50" s="2086"/>
      <c r="AC50" s="2086"/>
      <c r="AD50" s="312"/>
      <c r="AE50" s="312"/>
      <c r="AF50" s="312"/>
      <c r="AG50" s="316" t="str">
        <f>AH49&amp;"-"&amp;AJ49</f>
        <v>45292.58652777778-45473.58657407408</v>
      </c>
      <c r="AH50" s="2095"/>
      <c r="AI50" s="1963"/>
      <c r="AJ50" s="2097"/>
      <c r="AK50" s="1963"/>
      <c r="AL50" s="312"/>
      <c r="AM50" s="312"/>
      <c r="AN50" s="312"/>
      <c r="AO50" s="316" t="str">
        <f>AP49&amp;"-"&amp;AR49</f>
        <v>45474.586643518516-45657.58673611111</v>
      </c>
      <c r="AP50" s="2134"/>
      <c r="AQ50" s="1963"/>
      <c r="AR50" s="2134"/>
      <c r="AS50" s="1963"/>
      <c r="AT50" s="312"/>
      <c r="AU50" s="312"/>
      <c r="AV50" s="312"/>
      <c r="AW50" s="316" t="str">
        <f>AX49&amp;"-"&amp;AZ49</f>
        <v>45658.58738425926-46203.587476851855</v>
      </c>
      <c r="AX50" s="2134"/>
      <c r="AY50" s="1963"/>
      <c r="AZ50" s="2134"/>
      <c r="BA50" s="1963"/>
      <c r="BB50" s="312"/>
      <c r="BC50" s="312"/>
      <c r="BD50" s="312"/>
      <c r="BE50" s="316" t="str">
        <f>BF49&amp;"-"&amp;BH49</f>
        <v>46204.58783564815-46387.58792824074</v>
      </c>
      <c r="BF50" s="2134"/>
      <c r="BG50" s="1963"/>
      <c r="BH50" s="2134"/>
      <c r="BI50" s="1963"/>
      <c r="BJ50" s="312"/>
      <c r="BK50" s="312"/>
      <c r="BL50" s="312"/>
      <c r="BM50" s="316" t="str">
        <f>BN49&amp;"-"&amp;BP49</f>
        <v>46388.58829861111-46934.58840277778</v>
      </c>
      <c r="BN50" s="2134"/>
      <c r="BO50" s="1963"/>
      <c r="BP50" s="2134"/>
      <c r="BQ50" s="1963"/>
      <c r="BR50" s="312"/>
      <c r="BS50" s="312"/>
      <c r="BT50" s="312"/>
      <c r="BU50" s="316" t="str">
        <f>BV49&amp;"-"&amp;BX49</f>
        <v>46935.58861111111-47118.58875</v>
      </c>
      <c r="BV50" s="2134"/>
      <c r="BW50" s="1963"/>
      <c r="BX50" s="2134"/>
      <c r="BY50" s="1963"/>
      <c r="BZ50" s="1377"/>
      <c r="CA50" s="1377"/>
      <c r="CB50" s="1377"/>
      <c r="CC50" s="316" t="str">
        <f>CD49&amp;"-"&amp;CF49</f>
        <v>-</v>
      </c>
      <c r="CD50" s="2086"/>
      <c r="CE50" s="2086"/>
      <c r="CF50" s="2086"/>
      <c r="CG50" s="2086"/>
      <c r="CH50" s="1377"/>
      <c r="CI50" s="1377"/>
      <c r="CJ50" s="1377"/>
      <c r="CK50" s="316" t="str">
        <f>CL49&amp;"-"&amp;CN49</f>
        <v>-</v>
      </c>
      <c r="CL50" s="2086"/>
      <c r="CM50" s="2086"/>
      <c r="CN50" s="2086"/>
      <c r="CO50" s="2086"/>
      <c r="CP50" s="1366"/>
      <c r="CQ50" s="2120"/>
      <c r="CS50" s="496"/>
      <c r="CT50" s="496" t="str">
        <f>IF(T50="","",T50)</f>
        <v/>
      </c>
      <c r="CU50" s="496"/>
      <c r="CV50" s="496"/>
    </row>
    <row customHeight="1" ht="11.25">
      <c r="A51" s="1380" t="s">
        <v>162</v>
      </c>
      <c r="B51" s="1380" t="s">
        <v>163</v>
      </c>
      <c r="C51" s="1380" t="s">
        <v>164</v>
      </c>
      <c r="D51" s="1380" t="s">
        <v>165</v>
      </c>
      <c r="E51" s="2090"/>
      <c r="F51" s="2090"/>
      <c r="G51" s="2090"/>
      <c r="H51" s="2090"/>
      <c r="I51" s="2092"/>
      <c r="J51" s="2091"/>
      <c r="K51" s="1380"/>
      <c r="L51" s="1381"/>
      <c r="P51" s="2093"/>
      <c r="Q51" s="2093"/>
      <c r="R51" s="344"/>
      <c r="S51" s="1295"/>
      <c r="T51" s="269" t="s">
        <v>418</v>
      </c>
      <c r="U51" s="359"/>
      <c r="V51" s="359"/>
      <c r="W51" s="359"/>
      <c r="X51" s="359"/>
      <c r="Y51" s="359"/>
      <c r="Z51" s="359"/>
      <c r="AA51" s="359"/>
      <c r="AB51" s="359"/>
      <c r="AC51" s="359"/>
      <c r="AD51" s="359"/>
      <c r="AE51" s="359"/>
      <c r="AF51" s="359"/>
      <c r="AG51" s="359"/>
      <c r="AH51" s="359"/>
      <c r="AI51" s="359"/>
      <c r="AJ51" s="359"/>
      <c r="AK51" s="359"/>
      <c r="AL51" s="2736"/>
      <c r="AM51" s="2737"/>
      <c r="AN51" s="2738"/>
      <c r="AO51" s="2739"/>
      <c r="AP51" s="2740"/>
      <c r="AQ51" s="2741"/>
      <c r="AR51" s="2742"/>
      <c r="AS51" s="2743"/>
      <c r="AT51" s="2744"/>
      <c r="AU51" s="2745"/>
      <c r="AV51" s="2746"/>
      <c r="AW51" s="2747"/>
      <c r="AX51" s="2748"/>
      <c r="AY51" s="2749"/>
      <c r="AZ51" s="2750"/>
      <c r="BA51" s="2751"/>
      <c r="BB51" s="2752"/>
      <c r="BC51" s="2753"/>
      <c r="BD51" s="2754"/>
      <c r="BE51" s="2755"/>
      <c r="BF51" s="2756"/>
      <c r="BG51" s="2757"/>
      <c r="BH51" s="2758"/>
      <c r="BI51" s="2759"/>
      <c r="BJ51" s="2760"/>
      <c r="BK51" s="2761"/>
      <c r="BL51" s="2762"/>
      <c r="BM51" s="2763"/>
      <c r="BN51" s="2764"/>
      <c r="BO51" s="2765"/>
      <c r="BP51" s="2766"/>
      <c r="BQ51" s="2767"/>
      <c r="BR51" s="2768"/>
      <c r="BS51" s="2769"/>
      <c r="BT51" s="2770"/>
      <c r="BU51" s="2771"/>
      <c r="BV51" s="2772"/>
      <c r="BW51" s="2773"/>
      <c r="BX51" s="2774"/>
      <c r="BY51" s="2775"/>
      <c r="BZ51" s="2776"/>
      <c r="CA51" s="2777"/>
      <c r="CB51" s="2778"/>
      <c r="CC51" s="2779"/>
      <c r="CD51" s="2780"/>
      <c r="CE51" s="2781"/>
      <c r="CF51" s="2782"/>
      <c r="CG51" s="2783"/>
      <c r="CH51" s="2784"/>
      <c r="CI51" s="2785"/>
      <c r="CJ51" s="2786"/>
      <c r="CK51" s="2787"/>
      <c r="CL51" s="2788"/>
      <c r="CM51" s="2789"/>
      <c r="CN51" s="2790"/>
      <c r="CO51" s="2791"/>
      <c r="CP51" s="311"/>
      <c r="CQ51" s="2121"/>
      <c r="CS51" s="496"/>
      <c r="CT51" s="496" t="str">
        <f>IF(T51="","",T51)</f>
        <v>Добавить вид теплоносителя (параметры теплоносителя)</v>
      </c>
      <c r="CU51" s="496"/>
      <c r="CV51" s="496"/>
    </row>
    <row s="2437" customFormat="1" customHeight="1" ht="21">
      <c r="A52" s="1380"/>
      <c r="B52" s="1380"/>
      <c r="C52" s="1380"/>
      <c r="D52" s="1380"/>
      <c r="E52" s="2090"/>
      <c r="F52" s="2090"/>
      <c r="G52" s="2090"/>
      <c r="H52" s="2090"/>
      <c r="I52" s="2092"/>
      <c r="J52" s="2091" t="str">
        <f>I47&amp;".2"</f>
        <v>1.1.1.1.1.2</v>
      </c>
      <c r="K52" s="1380"/>
      <c r="L52" s="1386" t="s">
        <v>413</v>
      </c>
      <c r="M52" s="1383"/>
      <c r="N52" s="1383"/>
      <c r="O52" s="1801"/>
      <c r="P52" s="2205"/>
      <c r="Q52" s="678" t="s">
        <v>169</v>
      </c>
      <c r="R52" s="345"/>
      <c r="S52" s="2107" t="str">
        <f>$J52</f>
        <v>1.1.1.1.1.2</v>
      </c>
      <c r="T52" s="267" t="s">
        <v>414</v>
      </c>
      <c r="U52" s="280"/>
      <c r="V52" s="2077"/>
      <c r="W52" s="2078"/>
      <c r="X52" s="2078"/>
      <c r="Y52" s="2078"/>
      <c r="Z52" s="2078"/>
      <c r="AA52" s="2078"/>
      <c r="AB52" s="2078"/>
      <c r="AC52" s="2079"/>
      <c r="AD52" s="2077" t="s">
        <v>456</v>
      </c>
      <c r="AE52" s="2078"/>
      <c r="AF52" s="2078"/>
      <c r="AG52" s="2078"/>
      <c r="AH52" s="2078"/>
      <c r="AI52" s="2078"/>
      <c r="AJ52" s="2078"/>
      <c r="AK52" s="2078"/>
      <c r="AL52" s="2077"/>
      <c r="AM52" s="2078"/>
      <c r="AN52" s="2078"/>
      <c r="AO52" s="2078"/>
      <c r="AP52" s="2078"/>
      <c r="AQ52" s="2078"/>
      <c r="AR52" s="2078"/>
      <c r="AS52" s="2079"/>
      <c r="AT52" s="2077"/>
      <c r="AU52" s="2078"/>
      <c r="AV52" s="2078"/>
      <c r="AW52" s="2078"/>
      <c r="AX52" s="2078"/>
      <c r="AY52" s="2078"/>
      <c r="AZ52" s="2078"/>
      <c r="BA52" s="2079"/>
      <c r="BB52" s="2077"/>
      <c r="BC52" s="2078"/>
      <c r="BD52" s="2078"/>
      <c r="BE52" s="2078"/>
      <c r="BF52" s="2078"/>
      <c r="BG52" s="2078"/>
      <c r="BH52" s="2078"/>
      <c r="BI52" s="2079"/>
      <c r="BJ52" s="2077"/>
      <c r="BK52" s="2078"/>
      <c r="BL52" s="2078"/>
      <c r="BM52" s="2078"/>
      <c r="BN52" s="2078"/>
      <c r="BO52" s="2078"/>
      <c r="BP52" s="2078"/>
      <c r="BQ52" s="2079"/>
      <c r="BR52" s="2077"/>
      <c r="BS52" s="2078"/>
      <c r="BT52" s="2078"/>
      <c r="BU52" s="2078"/>
      <c r="BV52" s="2078"/>
      <c r="BW52" s="2078"/>
      <c r="BX52" s="2078"/>
      <c r="BY52" s="2079"/>
      <c r="BZ52" s="2077"/>
      <c r="CA52" s="2078"/>
      <c r="CB52" s="2078"/>
      <c r="CC52" s="2078"/>
      <c r="CD52" s="2078"/>
      <c r="CE52" s="2078"/>
      <c r="CF52" s="2078"/>
      <c r="CG52" s="2079"/>
      <c r="CH52" s="2077"/>
      <c r="CI52" s="2078"/>
      <c r="CJ52" s="2078"/>
      <c r="CK52" s="2078"/>
      <c r="CL52" s="2078"/>
      <c r="CM52" s="2078"/>
      <c r="CN52" s="2078"/>
      <c r="CO52" s="2079"/>
      <c r="CP52" s="2079"/>
      <c r="CQ52" s="1273" t="s">
        <v>415</v>
      </c>
      <c r="CR52" s="1667"/>
      <c r="CS52" s="1649"/>
      <c r="CT52" s="1649" t="str">
        <f>IF(T52="","",T52)</f>
        <v>Группа потребителей</v>
      </c>
      <c r="CU52" s="1649"/>
      <c r="CV52" s="1649"/>
    </row>
    <row s="2437" customFormat="1" customHeight="1" ht="21">
      <c r="A53" s="1380"/>
      <c r="B53" s="1380"/>
      <c r="C53" s="1380"/>
      <c r="D53" s="1380"/>
      <c r="E53" s="2090"/>
      <c r="F53" s="2090"/>
      <c r="G53" s="2090"/>
      <c r="H53" s="2090"/>
      <c r="I53" s="2092"/>
      <c r="J53" s="2092" t="str">
        <f>I47&amp;".1"</f>
        <v>1.1.1.1.1.1</v>
      </c>
      <c r="K53" s="2091" t="str">
        <f>J52&amp;".1"</f>
        <v>1.1.1.1.1.2.1</v>
      </c>
      <c r="L53" s="1386" t="s">
        <v>416</v>
      </c>
      <c r="M53" s="1383"/>
      <c r="N53" s="1383"/>
      <c r="O53" s="1383"/>
      <c r="P53" s="2205"/>
      <c r="Q53" s="2205"/>
      <c r="R53" s="345">
        <v>1</v>
      </c>
      <c r="S53" s="2107" t="str">
        <f>$K53</f>
        <v>1.1.1.1.1.2.1</v>
      </c>
      <c r="T53" s="1364" t="s">
        <v>455</v>
      </c>
      <c r="U53" s="280"/>
      <c r="V53" s="746"/>
      <c r="W53" s="312"/>
      <c r="X53" s="746"/>
      <c r="Y53" s="1272"/>
      <c r="Z53" s="2425"/>
      <c r="AA53" s="1963" t="s">
        <v>66</v>
      </c>
      <c r="AB53" s="2425"/>
      <c r="AC53" s="1963" t="s">
        <v>66</v>
      </c>
      <c r="AD53" s="746">
        <v>3162.84</v>
      </c>
      <c r="AE53" s="312"/>
      <c r="AF53" s="746"/>
      <c r="AG53" s="1272"/>
      <c r="AH53" s="2425">
        <v>45292.58899305556</v>
      </c>
      <c r="AI53" s="1963" t="s">
        <v>66</v>
      </c>
      <c r="AJ53" s="2425">
        <v>45473.58903935185</v>
      </c>
      <c r="AK53" s="1963" t="s">
        <v>66</v>
      </c>
      <c r="AL53" s="746">
        <v>3421.57</v>
      </c>
      <c r="AM53" s="312"/>
      <c r="AN53" s="746"/>
      <c r="AO53" s="1272"/>
      <c r="AP53" s="2425">
        <v>45474.589166666665</v>
      </c>
      <c r="AQ53" s="1963" t="s">
        <v>66</v>
      </c>
      <c r="AR53" s="2425">
        <v>45657.589224537034</v>
      </c>
      <c r="AS53" s="1963" t="s">
        <v>66</v>
      </c>
      <c r="AT53" s="746">
        <v>3345.66</v>
      </c>
      <c r="AU53" s="312"/>
      <c r="AV53" s="746"/>
      <c r="AW53" s="1272"/>
      <c r="AX53" s="2425">
        <v>45658.589733796296</v>
      </c>
      <c r="AY53" s="1963" t="s">
        <v>66</v>
      </c>
      <c r="AZ53" s="2425">
        <v>45838.58980324074</v>
      </c>
      <c r="BA53" s="1963" t="s">
        <v>66</v>
      </c>
      <c r="BB53" s="746">
        <v>3354.66</v>
      </c>
      <c r="BC53" s="312"/>
      <c r="BD53" s="746"/>
      <c r="BE53" s="1272"/>
      <c r="BF53" s="2425">
        <v>45839.58998842593</v>
      </c>
      <c r="BG53" s="1963" t="s">
        <v>66</v>
      </c>
      <c r="BH53" s="2425">
        <v>46203.59008101852</v>
      </c>
      <c r="BI53" s="1963" t="s">
        <v>66</v>
      </c>
      <c r="BJ53" s="746">
        <v>3564.07</v>
      </c>
      <c r="BK53" s="312"/>
      <c r="BL53" s="746"/>
      <c r="BM53" s="1272"/>
      <c r="BN53" s="2425">
        <v>46204.59034722222</v>
      </c>
      <c r="BO53" s="1963" t="s">
        <v>66</v>
      </c>
      <c r="BP53" s="2425">
        <v>46387.59042824074</v>
      </c>
      <c r="BQ53" s="1963" t="s">
        <v>66</v>
      </c>
      <c r="BR53" s="746">
        <v>3457.5</v>
      </c>
      <c r="BS53" s="312"/>
      <c r="BT53" s="746"/>
      <c r="BU53" s="1272"/>
      <c r="BV53" s="2425">
        <v>46388.59071759259</v>
      </c>
      <c r="BW53" s="1963" t="s">
        <v>66</v>
      </c>
      <c r="BX53" s="2425">
        <v>46568.59079861111</v>
      </c>
      <c r="BY53" s="1963" t="s">
        <v>66</v>
      </c>
      <c r="BZ53" s="746">
        <v>3466.88</v>
      </c>
      <c r="CA53" s="312"/>
      <c r="CB53" s="746"/>
      <c r="CC53" s="1272"/>
      <c r="CD53" s="2425">
        <v>46569.59118055556</v>
      </c>
      <c r="CE53" s="1963" t="s">
        <v>66</v>
      </c>
      <c r="CF53" s="2425">
        <v>46934.591261574074</v>
      </c>
      <c r="CG53" s="1963" t="s">
        <v>66</v>
      </c>
      <c r="CH53" s="746">
        <v>3689.77</v>
      </c>
      <c r="CI53" s="312"/>
      <c r="CJ53" s="746"/>
      <c r="CK53" s="1272"/>
      <c r="CL53" s="2425">
        <v>46935.59158564815</v>
      </c>
      <c r="CM53" s="1963" t="s">
        <v>66</v>
      </c>
      <c r="CN53" s="2425">
        <v>47118.59164351852</v>
      </c>
      <c r="CO53" s="1963" t="s">
        <v>66</v>
      </c>
      <c r="CP53" s="312"/>
      <c r="CQ53" s="2119" t="s">
        <v>417</v>
      </c>
      <c r="CR53" s="1667">
        <f>STRCHECKDATE(V54:CP54)</f>
      </c>
      <c r="CS53" s="1649"/>
      <c r="CT53" s="1649" t="str">
        <f>IF(T53="","",T53)</f>
        <v>вода</v>
      </c>
      <c r="CU53" s="1649"/>
      <c r="CV53" s="1649"/>
    </row>
    <row s="2437" customFormat="1" customHeight="1" ht="0.75">
      <c r="A54" s="1380"/>
      <c r="B54" s="1380"/>
      <c r="C54" s="1380"/>
      <c r="D54" s="1380"/>
      <c r="E54" s="2090"/>
      <c r="F54" s="2090"/>
      <c r="G54" s="2090"/>
      <c r="H54" s="2090"/>
      <c r="I54" s="2092"/>
      <c r="J54" s="2092" t="str">
        <f>I47&amp;".1"</f>
        <v>1.1.1.1.1.1</v>
      </c>
      <c r="K54" s="2091"/>
      <c r="L54" s="1386"/>
      <c r="M54" s="1383"/>
      <c r="N54" s="1383"/>
      <c r="O54" s="1383"/>
      <c r="P54" s="2205"/>
      <c r="Q54" s="2205"/>
      <c r="R54" s="345"/>
      <c r="S54" s="2349"/>
      <c r="T54" s="280"/>
      <c r="U54" s="280"/>
      <c r="V54" s="312"/>
      <c r="W54" s="312"/>
      <c r="X54" s="312"/>
      <c r="Y54" s="316" t="str">
        <f>Z53&amp;"-"&amp;AB53</f>
        <v>-</v>
      </c>
      <c r="Z54" s="2134"/>
      <c r="AA54" s="1963"/>
      <c r="AB54" s="2134"/>
      <c r="AC54" s="1963"/>
      <c r="AD54" s="312"/>
      <c r="AE54" s="312"/>
      <c r="AF54" s="312"/>
      <c r="AG54" s="316" t="str">
        <f>AH53&amp;"-"&amp;AJ53</f>
        <v>45292.58899305556-45473.58903935185</v>
      </c>
      <c r="AH54" s="2134"/>
      <c r="AI54" s="1963"/>
      <c r="AJ54" s="2134"/>
      <c r="AK54" s="1963"/>
      <c r="AL54" s="312"/>
      <c r="AM54" s="312"/>
      <c r="AN54" s="312"/>
      <c r="AO54" s="316" t="str">
        <f>AP53&amp;"-"&amp;AR53</f>
        <v>45474.589166666665-45657.589224537034</v>
      </c>
      <c r="AP54" s="2134"/>
      <c r="AQ54" s="1963"/>
      <c r="AR54" s="2134"/>
      <c r="AS54" s="1963"/>
      <c r="AT54" s="312"/>
      <c r="AU54" s="312"/>
      <c r="AV54" s="312"/>
      <c r="AW54" s="316" t="str">
        <f>AX53&amp;"-"&amp;AZ53</f>
        <v>45658.589733796296-45838.58980324074</v>
      </c>
      <c r="AX54" s="2134"/>
      <c r="AY54" s="1963"/>
      <c r="AZ54" s="2134"/>
      <c r="BA54" s="1963"/>
      <c r="BB54" s="312"/>
      <c r="BC54" s="312"/>
      <c r="BD54" s="312"/>
      <c r="BE54" s="316" t="str">
        <f>BF53&amp;"-"&amp;BH53</f>
        <v>45839.58998842593-46203.59008101852</v>
      </c>
      <c r="BF54" s="2134"/>
      <c r="BG54" s="1963"/>
      <c r="BH54" s="2134"/>
      <c r="BI54" s="1963"/>
      <c r="BJ54" s="312"/>
      <c r="BK54" s="312"/>
      <c r="BL54" s="312"/>
      <c r="BM54" s="316" t="str">
        <f>BN53&amp;"-"&amp;BP53</f>
        <v>46204.59034722222-46387.59042824074</v>
      </c>
      <c r="BN54" s="2134"/>
      <c r="BO54" s="1963"/>
      <c r="BP54" s="2134"/>
      <c r="BQ54" s="1963"/>
      <c r="BR54" s="312"/>
      <c r="BS54" s="312"/>
      <c r="BT54" s="312"/>
      <c r="BU54" s="316" t="str">
        <f>BV53&amp;"-"&amp;BX53</f>
        <v>46388.59071759259-46568.59079861111</v>
      </c>
      <c r="BV54" s="2134"/>
      <c r="BW54" s="1963"/>
      <c r="BX54" s="2134"/>
      <c r="BY54" s="1963"/>
      <c r="BZ54" s="312"/>
      <c r="CA54" s="312"/>
      <c r="CB54" s="312"/>
      <c r="CC54" s="316" t="str">
        <f>CD53&amp;"-"&amp;CF53</f>
        <v>46569.59118055556-46934.591261574074</v>
      </c>
      <c r="CD54" s="2134"/>
      <c r="CE54" s="1963"/>
      <c r="CF54" s="2134"/>
      <c r="CG54" s="1963"/>
      <c r="CH54" s="312"/>
      <c r="CI54" s="312"/>
      <c r="CJ54" s="312"/>
      <c r="CK54" s="316" t="str">
        <f>CL53&amp;"-"&amp;CN53</f>
        <v>46935.59158564815-47118.59164351852</v>
      </c>
      <c r="CL54" s="2134"/>
      <c r="CM54" s="1963"/>
      <c r="CN54" s="2134"/>
      <c r="CO54" s="1963"/>
      <c r="CP54" s="312"/>
      <c r="CQ54" s="2120"/>
      <c r="CR54" s="1667"/>
      <c r="CS54" s="1649"/>
      <c r="CT54" s="1649" t="str">
        <f>IF(T54="","",T54)</f>
        <v/>
      </c>
      <c r="CU54" s="1649"/>
      <c r="CV54" s="1649"/>
    </row>
    <row s="2437" customFormat="1" customHeight="1" ht="15">
      <c r="A55" s="1380"/>
      <c r="B55" s="1380"/>
      <c r="C55" s="1380"/>
      <c r="D55" s="1380"/>
      <c r="E55" s="2090"/>
      <c r="F55" s="2090"/>
      <c r="G55" s="2090"/>
      <c r="H55" s="2090"/>
      <c r="I55" s="2092"/>
      <c r="J55" s="2091" t="str">
        <f>I47&amp;".1"</f>
        <v>1.1.1.1.1.1</v>
      </c>
      <c r="K55" s="1380"/>
      <c r="L55" s="1386"/>
      <c r="M55" s="1383"/>
      <c r="N55" s="1383"/>
      <c r="O55" s="1801"/>
      <c r="P55" s="2205"/>
      <c r="Q55" s="2205"/>
      <c r="R55" s="344"/>
      <c r="S55" s="2792"/>
      <c r="T55" s="2793" t="s">
        <v>418</v>
      </c>
      <c r="U55" s="2794"/>
      <c r="V55" s="2795"/>
      <c r="W55" s="2796"/>
      <c r="X55" s="2797"/>
      <c r="Y55" s="2798"/>
      <c r="Z55" s="2799"/>
      <c r="AA55" s="2800"/>
      <c r="AB55" s="2801"/>
      <c r="AC55" s="2802"/>
      <c r="AD55" s="2803"/>
      <c r="AE55" s="2804"/>
      <c r="AF55" s="2805"/>
      <c r="AG55" s="2806"/>
      <c r="AH55" s="2807"/>
      <c r="AI55" s="2808"/>
      <c r="AJ55" s="2809"/>
      <c r="AK55" s="2810"/>
      <c r="AL55" s="2811"/>
      <c r="AM55" s="2812"/>
      <c r="AN55" s="2813"/>
      <c r="AO55" s="2814"/>
      <c r="AP55" s="2815"/>
      <c r="AQ55" s="2816"/>
      <c r="AR55" s="2817"/>
      <c r="AS55" s="2818"/>
      <c r="AT55" s="2819"/>
      <c r="AU55" s="2820"/>
      <c r="AV55" s="2821"/>
      <c r="AW55" s="2822"/>
      <c r="AX55" s="2823"/>
      <c r="AY55" s="2824"/>
      <c r="AZ55" s="2825"/>
      <c r="BA55" s="2826"/>
      <c r="BB55" s="2827"/>
      <c r="BC55" s="2828"/>
      <c r="BD55" s="2829"/>
      <c r="BE55" s="2830"/>
      <c r="BF55" s="2831"/>
      <c r="BG55" s="2832"/>
      <c r="BH55" s="2833"/>
      <c r="BI55" s="2834"/>
      <c r="BJ55" s="2835"/>
      <c r="BK55" s="2836"/>
      <c r="BL55" s="2837"/>
      <c r="BM55" s="2838"/>
      <c r="BN55" s="2839"/>
      <c r="BO55" s="2840"/>
      <c r="BP55" s="2841"/>
      <c r="BQ55" s="2842"/>
      <c r="BR55" s="2843"/>
      <c r="BS55" s="2844"/>
      <c r="BT55" s="2845"/>
      <c r="BU55" s="2846"/>
      <c r="BV55" s="2847"/>
      <c r="BW55" s="2848"/>
      <c r="BX55" s="2849"/>
      <c r="BY55" s="2850"/>
      <c r="BZ55" s="2851"/>
      <c r="CA55" s="2852"/>
      <c r="CB55" s="2853"/>
      <c r="CC55" s="2854"/>
      <c r="CD55" s="2855"/>
      <c r="CE55" s="2856"/>
      <c r="CF55" s="2857"/>
      <c r="CG55" s="2858"/>
      <c r="CH55" s="2859"/>
      <c r="CI55" s="2860"/>
      <c r="CJ55" s="2861"/>
      <c r="CK55" s="2862"/>
      <c r="CL55" s="2863"/>
      <c r="CM55" s="2864"/>
      <c r="CN55" s="2865"/>
      <c r="CO55" s="2866"/>
      <c r="CP55" s="2867"/>
      <c r="CQ55" s="2121"/>
      <c r="CR55" s="1667"/>
      <c r="CS55" s="1649"/>
      <c r="CT55" s="1649" t="str">
        <f>IF(T55="","",T55)</f>
        <v>Добавить вид теплоносителя (параметры теплоносителя)</v>
      </c>
      <c r="CU55" s="1649"/>
      <c r="CV55" s="1649"/>
    </row>
    <row customHeight="1" ht="11.25">
      <c r="A56" s="1380" t="s">
        <v>162</v>
      </c>
      <c r="B56" s="1380" t="s">
        <v>163</v>
      </c>
      <c r="C56" s="1380" t="s">
        <v>164</v>
      </c>
      <c r="D56" s="1380" t="s">
        <v>165</v>
      </c>
      <c r="E56" s="2090"/>
      <c r="F56" s="2090"/>
      <c r="G56" s="2090"/>
      <c r="H56" s="2090"/>
      <c r="I56" s="2091"/>
      <c r="J56" s="1380"/>
      <c r="K56" s="1380"/>
      <c r="L56" s="1381"/>
      <c r="P56" s="2093"/>
      <c r="Q56" s="1348"/>
      <c r="R56" s="344"/>
      <c r="S56" s="1295"/>
      <c r="T56" s="268" t="s">
        <v>419</v>
      </c>
      <c r="U56" s="359"/>
      <c r="V56" s="359"/>
      <c r="W56" s="359"/>
      <c r="X56" s="359"/>
      <c r="Y56" s="359"/>
      <c r="Z56" s="359"/>
      <c r="AA56" s="359"/>
      <c r="AB56" s="359"/>
      <c r="AC56" s="358"/>
      <c r="AD56" s="359"/>
      <c r="AE56" s="359"/>
      <c r="AF56" s="359"/>
      <c r="AG56" s="359"/>
      <c r="AH56" s="359"/>
      <c r="AI56" s="359"/>
      <c r="AJ56" s="359"/>
      <c r="AK56" s="358"/>
      <c r="AL56" s="2868"/>
      <c r="AM56" s="2869"/>
      <c r="AN56" s="2870"/>
      <c r="AO56" s="2871"/>
      <c r="AP56" s="2872"/>
      <c r="AQ56" s="2873"/>
      <c r="AR56" s="2874"/>
      <c r="AS56" s="2875"/>
      <c r="AT56" s="2876"/>
      <c r="AU56" s="2877"/>
      <c r="AV56" s="2878"/>
      <c r="AW56" s="2879"/>
      <c r="AX56" s="2880"/>
      <c r="AY56" s="2881"/>
      <c r="AZ56" s="2882"/>
      <c r="BA56" s="2883"/>
      <c r="BB56" s="2884"/>
      <c r="BC56" s="2885"/>
      <c r="BD56" s="2886"/>
      <c r="BE56" s="2887"/>
      <c r="BF56" s="2888"/>
      <c r="BG56" s="2889"/>
      <c r="BH56" s="2890"/>
      <c r="BI56" s="2891"/>
      <c r="BJ56" s="2892"/>
      <c r="BK56" s="2893"/>
      <c r="BL56" s="2894"/>
      <c r="BM56" s="2895"/>
      <c r="BN56" s="2896"/>
      <c r="BO56" s="2897"/>
      <c r="BP56" s="2898"/>
      <c r="BQ56" s="2899"/>
      <c r="BR56" s="2900"/>
      <c r="BS56" s="2901"/>
      <c r="BT56" s="2902"/>
      <c r="BU56" s="2903"/>
      <c r="BV56" s="2904"/>
      <c r="BW56" s="2905"/>
      <c r="BX56" s="2906"/>
      <c r="BY56" s="2907"/>
      <c r="BZ56" s="2908"/>
      <c r="CA56" s="2909"/>
      <c r="CB56" s="2910"/>
      <c r="CC56" s="2911"/>
      <c r="CD56" s="2912"/>
      <c r="CE56" s="2913"/>
      <c r="CF56" s="2914"/>
      <c r="CG56" s="2915"/>
      <c r="CH56" s="2916"/>
      <c r="CI56" s="2917"/>
      <c r="CJ56" s="2918"/>
      <c r="CK56" s="2919"/>
      <c r="CL56" s="2920"/>
      <c r="CM56" s="2921"/>
      <c r="CN56" s="2922"/>
      <c r="CO56" s="2923"/>
      <c r="CP56" s="359"/>
      <c r="CQ56" s="283"/>
      <c r="CS56" s="496"/>
      <c r="CT56" s="496" t="str">
        <f>IF(T56="","",T56)</f>
        <v>Добавить группу потребителей</v>
      </c>
      <c r="CU56" s="496"/>
      <c r="CV56" s="496"/>
    </row>
    <row customHeight="1" ht="14.25">
      <c r="A57" s="1380" t="s">
        <v>162</v>
      </c>
      <c r="B57" s="1380" t="s">
        <v>163</v>
      </c>
      <c r="C57" s="1380" t="s">
        <v>164</v>
      </c>
      <c r="D57" s="1380" t="s">
        <v>165</v>
      </c>
      <c r="E57" s="2090"/>
      <c r="F57" s="2090"/>
      <c r="G57" s="2090"/>
      <c r="H57" s="2089"/>
      <c r="I57" s="1380"/>
      <c r="J57" s="1380"/>
      <c r="K57" s="1380"/>
      <c r="L57" s="1381"/>
      <c r="M57" s="1382"/>
      <c r="N57" s="1382"/>
      <c r="O57" s="533"/>
      <c r="P57" s="348"/>
      <c r="Q57" s="367"/>
      <c r="R57" s="343"/>
      <c r="S57" s="1295"/>
      <c r="T57" s="356" t="s">
        <v>420</v>
      </c>
      <c r="U57" s="359"/>
      <c r="V57" s="359"/>
      <c r="W57" s="359"/>
      <c r="X57" s="359"/>
      <c r="Y57" s="359"/>
      <c r="Z57" s="359"/>
      <c r="AA57" s="359"/>
      <c r="AB57" s="359"/>
      <c r="AC57" s="358"/>
      <c r="AD57" s="359"/>
      <c r="AE57" s="359"/>
      <c r="AF57" s="359"/>
      <c r="AG57" s="359"/>
      <c r="AH57" s="359"/>
      <c r="AI57" s="359"/>
      <c r="AJ57" s="359"/>
      <c r="AK57" s="358"/>
      <c r="AL57" s="2924"/>
      <c r="AM57" s="2925"/>
      <c r="AN57" s="2926"/>
      <c r="AO57" s="2927"/>
      <c r="AP57" s="2928"/>
      <c r="AQ57" s="2929"/>
      <c r="AR57" s="2930"/>
      <c r="AS57" s="2931"/>
      <c r="AT57" s="2932"/>
      <c r="AU57" s="2933"/>
      <c r="AV57" s="2934"/>
      <c r="AW57" s="2935"/>
      <c r="AX57" s="2936"/>
      <c r="AY57" s="2937"/>
      <c r="AZ57" s="2938"/>
      <c r="BA57" s="2939"/>
      <c r="BB57" s="2940"/>
      <c r="BC57" s="2941"/>
      <c r="BD57" s="2942"/>
      <c r="BE57" s="2943"/>
      <c r="BF57" s="2944"/>
      <c r="BG57" s="2945"/>
      <c r="BH57" s="2946"/>
      <c r="BI57" s="2947"/>
      <c r="BJ57" s="2948"/>
      <c r="BK57" s="2949"/>
      <c r="BL57" s="2950"/>
      <c r="BM57" s="2951"/>
      <c r="BN57" s="2952"/>
      <c r="BO57" s="2953"/>
      <c r="BP57" s="2954"/>
      <c r="BQ57" s="2955"/>
      <c r="BR57" s="2956"/>
      <c r="BS57" s="2957"/>
      <c r="BT57" s="2958"/>
      <c r="BU57" s="2959"/>
      <c r="BV57" s="2960"/>
      <c r="BW57" s="2961"/>
      <c r="BX57" s="2962"/>
      <c r="BY57" s="2963"/>
      <c r="BZ57" s="2964"/>
      <c r="CA57" s="2965"/>
      <c r="CB57" s="2966"/>
      <c r="CC57" s="2967"/>
      <c r="CD57" s="2968"/>
      <c r="CE57" s="2969"/>
      <c r="CF57" s="2970"/>
      <c r="CG57" s="2971"/>
      <c r="CH57" s="2972"/>
      <c r="CI57" s="2973"/>
      <c r="CJ57" s="2974"/>
      <c r="CK57" s="2975"/>
      <c r="CL57" s="2976"/>
      <c r="CM57" s="2977"/>
      <c r="CN57" s="2978"/>
      <c r="CO57" s="2979"/>
      <c r="CP57" s="359"/>
      <c r="CQ57" s="283"/>
      <c r="CS57" s="496"/>
      <c r="CT57" s="496" t="str">
        <f>IF(T57="","",T57)</f>
        <v>Добавить схему подключения</v>
      </c>
      <c r="CU57" s="496"/>
      <c r="CV57" s="496"/>
    </row>
    <row s="1667" customFormat="1" customHeight="1" ht="0.75">
      <c r="A58" s="1360" t="s">
        <v>162</v>
      </c>
      <c r="B58" s="1360" t="s">
        <v>163</v>
      </c>
      <c r="C58" s="1360" t="s">
        <v>164</v>
      </c>
      <c r="D58" s="1331"/>
      <c r="E58" s="2090"/>
      <c r="F58" s="2090"/>
      <c r="G58" s="2089"/>
      <c r="H58" s="1331"/>
      <c r="I58" s="1331"/>
      <c r="J58" s="1331"/>
      <c r="K58" s="1331"/>
      <c r="L58" s="1356"/>
      <c r="M58" s="1332"/>
      <c r="N58" s="1332"/>
      <c r="P58" s="1333"/>
      <c r="Q58" s="1334"/>
      <c r="R58" s="1333"/>
      <c r="S58" s="1339"/>
      <c r="T58" s="1342" t="s">
        <v>166</v>
      </c>
      <c r="U58" s="1341"/>
      <c r="V58" s="1341"/>
      <c r="W58" s="1341"/>
      <c r="X58" s="1341"/>
      <c r="Y58" s="1341"/>
      <c r="Z58" s="1341"/>
      <c r="AA58" s="1341"/>
      <c r="AB58" s="1341"/>
      <c r="AC58" s="1341"/>
      <c r="AD58" s="1341"/>
      <c r="AE58" s="1341"/>
      <c r="AF58" s="1341"/>
      <c r="AG58" s="1341"/>
      <c r="AH58" s="1341"/>
      <c r="AI58" s="1341"/>
      <c r="AJ58" s="1341"/>
      <c r="AK58" s="1341"/>
      <c r="AL58" s="1341"/>
      <c r="AM58" s="1341"/>
      <c r="AN58" s="1341"/>
      <c r="AO58" s="1341"/>
      <c r="AP58" s="1341"/>
      <c r="AQ58" s="1341"/>
      <c r="AR58" s="1341"/>
      <c r="AS58" s="1341"/>
      <c r="AT58" s="1341"/>
      <c r="AU58" s="1341"/>
      <c r="AV58" s="1341"/>
      <c r="AW58" s="1341"/>
      <c r="AX58" s="1341"/>
      <c r="AY58" s="1341"/>
      <c r="AZ58" s="1341"/>
      <c r="BA58" s="1341"/>
      <c r="BB58" s="1341"/>
      <c r="BC58" s="1341"/>
      <c r="BD58" s="1341"/>
      <c r="BE58" s="1341"/>
      <c r="BF58" s="1341"/>
      <c r="BG58" s="1341"/>
      <c r="BH58" s="1341"/>
      <c r="BI58" s="1341"/>
      <c r="BJ58" s="1341"/>
      <c r="BK58" s="1341"/>
      <c r="BL58" s="1341"/>
      <c r="BM58" s="1341"/>
      <c r="BN58" s="1341"/>
      <c r="BO58" s="1341"/>
      <c r="BP58" s="1341"/>
      <c r="BQ58" s="1341"/>
      <c r="BR58" s="1341"/>
      <c r="BS58" s="1341"/>
      <c r="BT58" s="1341"/>
      <c r="BU58" s="1341"/>
      <c r="BV58" s="1341"/>
      <c r="BW58" s="1341"/>
      <c r="BX58" s="1341"/>
      <c r="BY58" s="1341"/>
      <c r="BZ58" s="1341"/>
      <c r="CA58" s="1341"/>
      <c r="CB58" s="1341"/>
      <c r="CC58" s="1341"/>
      <c r="CD58" s="1341"/>
      <c r="CE58" s="1341"/>
      <c r="CF58" s="1341"/>
      <c r="CG58" s="1341"/>
      <c r="CH58" s="1341"/>
      <c r="CI58" s="1341"/>
      <c r="CJ58" s="1341"/>
      <c r="CK58" s="1341"/>
      <c r="CL58" s="1341"/>
      <c r="CM58" s="1341"/>
      <c r="CN58" s="1341"/>
      <c r="CO58" s="1341"/>
      <c r="CP58" s="1341"/>
      <c r="CQ58" s="1341"/>
      <c r="CS58" s="783"/>
      <c r="CT58" s="783" t="str">
        <f>IF(T58="","",T58)</f>
        <v>Добавить источник для дифференциации</v>
      </c>
      <c r="CU58" s="783"/>
      <c r="CV58" s="783"/>
    </row>
    <row s="1667" customFormat="1" customHeight="1" ht="0.75">
      <c r="A59" s="1360" t="s">
        <v>162</v>
      </c>
      <c r="B59" s="1360" t="s">
        <v>163</v>
      </c>
      <c r="C59" s="1331"/>
      <c r="D59" s="1331"/>
      <c r="E59" s="2090"/>
      <c r="F59" s="2089"/>
      <c r="G59" s="1331"/>
      <c r="H59" s="1331"/>
      <c r="I59" s="1331"/>
      <c r="J59" s="1331"/>
      <c r="K59" s="1331"/>
      <c r="L59" s="1356"/>
      <c r="M59" s="1338"/>
      <c r="N59" s="1338"/>
      <c r="P59" s="1333"/>
      <c r="Q59" s="1334"/>
      <c r="R59" s="1333"/>
      <c r="S59" s="1339"/>
      <c r="T59" s="1342" t="s">
        <v>167</v>
      </c>
      <c r="U59" s="1341"/>
      <c r="V59" s="1341"/>
      <c r="W59" s="1341"/>
      <c r="X59" s="1341"/>
      <c r="Y59" s="1341"/>
      <c r="Z59" s="1341"/>
      <c r="AA59" s="1341"/>
      <c r="AB59" s="1341"/>
      <c r="AC59" s="1341"/>
      <c r="AD59" s="1341"/>
      <c r="AE59" s="1341"/>
      <c r="AF59" s="1341"/>
      <c r="AG59" s="1341"/>
      <c r="AH59" s="1341"/>
      <c r="AI59" s="1341"/>
      <c r="AJ59" s="1341"/>
      <c r="AK59" s="1341"/>
      <c r="AL59" s="1341"/>
      <c r="AM59" s="1341"/>
      <c r="AN59" s="1341"/>
      <c r="AO59" s="1341"/>
      <c r="AP59" s="1341"/>
      <c r="AQ59" s="1341"/>
      <c r="AR59" s="1341"/>
      <c r="AS59" s="1341"/>
      <c r="AT59" s="1341"/>
      <c r="AU59" s="1341"/>
      <c r="AV59" s="1341"/>
      <c r="AW59" s="1341"/>
      <c r="AX59" s="1341"/>
      <c r="AY59" s="1341"/>
      <c r="AZ59" s="1341"/>
      <c r="BA59" s="1341"/>
      <c r="BB59" s="1341"/>
      <c r="BC59" s="1341"/>
      <c r="BD59" s="1341"/>
      <c r="BE59" s="1341"/>
      <c r="BF59" s="1341"/>
      <c r="BG59" s="1341"/>
      <c r="BH59" s="1341"/>
      <c r="BI59" s="1341"/>
      <c r="BJ59" s="1341"/>
      <c r="BK59" s="1341"/>
      <c r="BL59" s="1341"/>
      <c r="BM59" s="1341"/>
      <c r="BN59" s="1341"/>
      <c r="BO59" s="1341"/>
      <c r="BP59" s="1341"/>
      <c r="BQ59" s="1341"/>
      <c r="BR59" s="1341"/>
      <c r="BS59" s="1341"/>
      <c r="BT59" s="1341"/>
      <c r="BU59" s="1341"/>
      <c r="BV59" s="1341"/>
      <c r="BW59" s="1341"/>
      <c r="BX59" s="1341"/>
      <c r="BY59" s="1341"/>
      <c r="BZ59" s="1341"/>
      <c r="CA59" s="1341"/>
      <c r="CB59" s="1341"/>
      <c r="CC59" s="1341"/>
      <c r="CD59" s="1341"/>
      <c r="CE59" s="1341"/>
      <c r="CF59" s="1341"/>
      <c r="CG59" s="1341"/>
      <c r="CH59" s="1341"/>
      <c r="CI59" s="1341"/>
      <c r="CJ59" s="1341"/>
      <c r="CK59" s="1341"/>
      <c r="CL59" s="1341"/>
      <c r="CM59" s="1341"/>
      <c r="CN59" s="1341"/>
      <c r="CO59" s="1341"/>
      <c r="CP59" s="1341"/>
      <c r="CQ59" s="1341"/>
      <c r="CS59" s="783"/>
      <c r="CT59" s="783" t="str">
        <f>IF(T59="","",T59)</f>
        <v>Добавить централизованную систему для дифференциации</v>
      </c>
      <c r="CU59" s="783"/>
      <c r="CV59" s="783"/>
    </row>
    <row s="1667" customFormat="1" customHeight="1" ht="0.75">
      <c r="A60" s="1360" t="s">
        <v>162</v>
      </c>
      <c r="B60" s="1360"/>
      <c r="C60" s="1360"/>
      <c r="D60" s="1360"/>
      <c r="E60" s="2089"/>
      <c r="F60" s="1360"/>
      <c r="G60" s="1360"/>
      <c r="H60" s="1360"/>
      <c r="I60" s="1360"/>
      <c r="J60" s="1360"/>
      <c r="K60" s="1360"/>
      <c r="L60" s="1363"/>
      <c r="M60" s="1338"/>
      <c r="N60" s="1338"/>
      <c r="O60" s="514"/>
      <c r="P60" s="376"/>
      <c r="Q60" s="1361"/>
      <c r="R60" s="376"/>
      <c r="S60" s="1339"/>
      <c r="T60" s="1342" t="s">
        <v>168</v>
      </c>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V60" s="1341"/>
      <c r="AW60" s="1341"/>
      <c r="AX60" s="1341"/>
      <c r="AY60" s="1341"/>
      <c r="AZ60" s="1341"/>
      <c r="BA60" s="1341"/>
      <c r="BB60" s="1341"/>
      <c r="BC60" s="1341"/>
      <c r="BD60" s="1341"/>
      <c r="BE60" s="1341"/>
      <c r="BF60" s="1341"/>
      <c r="BG60" s="1341"/>
      <c r="BH60" s="1341"/>
      <c r="BI60" s="1341"/>
      <c r="BJ60" s="1341"/>
      <c r="BK60" s="1341"/>
      <c r="BL60" s="1341"/>
      <c r="BM60" s="1341"/>
      <c r="BN60" s="1341"/>
      <c r="BO60" s="1341"/>
      <c r="BP60" s="1341"/>
      <c r="BQ60" s="1341"/>
      <c r="BR60" s="1341"/>
      <c r="BS60" s="1341"/>
      <c r="BT60" s="1341"/>
      <c r="BU60" s="1341"/>
      <c r="BV60" s="1341"/>
      <c r="BW60" s="1341"/>
      <c r="BX60" s="1341"/>
      <c r="BY60" s="1341"/>
      <c r="BZ60" s="1341"/>
      <c r="CA60" s="1341"/>
      <c r="CB60" s="1341"/>
      <c r="CC60" s="1341"/>
      <c r="CD60" s="1341"/>
      <c r="CE60" s="1341"/>
      <c r="CF60" s="1341"/>
      <c r="CG60" s="1341"/>
      <c r="CH60" s="1341"/>
      <c r="CI60" s="1341"/>
      <c r="CJ60" s="1341"/>
      <c r="CK60" s="1341"/>
      <c r="CL60" s="1341"/>
      <c r="CM60" s="1341"/>
      <c r="CN60" s="1341"/>
      <c r="CO60" s="1341"/>
      <c r="CP60" s="1341"/>
      <c r="CQ60" s="1341"/>
      <c r="CS60" s="496"/>
      <c r="CT60" s="496" t="str">
        <f>IF(T60="","",T60)</f>
        <v>Добавить территорию для дифференциации</v>
      </c>
      <c r="CU60" s="496"/>
      <c r="CV60" s="496"/>
    </row>
    <row s="2437" customFormat="1" customHeight="1" ht="21">
      <c r="A61" s="1380" t="s">
        <v>171</v>
      </c>
      <c r="B61" s="1380"/>
      <c r="C61" s="1380"/>
      <c r="D61" s="1380"/>
      <c r="E61" s="2089" t="s">
        <v>109</v>
      </c>
      <c r="F61" s="1380"/>
      <c r="G61" s="1380"/>
      <c r="H61" s="1380"/>
      <c r="I61" s="1380"/>
      <c r="J61" s="1380"/>
      <c r="K61" s="1380"/>
      <c r="L61" s="1386"/>
      <c r="M61" s="1382"/>
      <c r="N61" s="1382"/>
      <c r="O61" s="1382"/>
      <c r="P61" s="2216"/>
      <c r="Q61" s="1848"/>
      <c r="R61" s="343"/>
      <c r="S61" s="2107" t="str">
        <f>INDEX(PT_DIFFERENTIATION_NUM_NTAR,MATCH(A61,PT_DIFFERENTIATION_NTAR_ID,0))</f>
        <v>2</v>
      </c>
      <c r="T61" s="1542" t="s">
        <v>122</v>
      </c>
      <c r="U61" s="280"/>
      <c r="V61" s="2083"/>
      <c r="W61" s="2084"/>
      <c r="X61" s="2084"/>
      <c r="Y61" s="2084"/>
      <c r="Z61" s="2084"/>
      <c r="AA61" s="2084"/>
      <c r="AB61" s="2084"/>
      <c r="AC61" s="2085"/>
      <c r="AD61" s="2083" t="str">
        <f>INDEX(PT_DIFFERENTIATION_NTAR,MATCH(A61,PT_DIFFERENTIATION_NTAR_ID,0))</f>
        <v>Тарифы на тепловую энергию, поставляемую обществом с ограниченной ответственностью "ПРОМ ИМПУЛЬС" на коллекторах источников тепловой энергии потребителям, расположенным на территории Санкт-Петербурга</v>
      </c>
      <c r="AE61" s="2084"/>
      <c r="AF61" s="2084"/>
      <c r="AG61" s="2084"/>
      <c r="AH61" s="2084"/>
      <c r="AI61" s="2084"/>
      <c r="AJ61" s="2084"/>
      <c r="AK61" s="2084"/>
      <c r="AL61" s="2083"/>
      <c r="AM61" s="2084"/>
      <c r="AN61" s="2084"/>
      <c r="AO61" s="2084"/>
      <c r="AP61" s="2084"/>
      <c r="AQ61" s="2084"/>
      <c r="AR61" s="2084"/>
      <c r="AS61" s="2085"/>
      <c r="AT61" s="2083"/>
      <c r="AU61" s="2084"/>
      <c r="AV61" s="2084"/>
      <c r="AW61" s="2084"/>
      <c r="AX61" s="2084"/>
      <c r="AY61" s="2084"/>
      <c r="AZ61" s="2084"/>
      <c r="BA61" s="2085"/>
      <c r="BB61" s="2083"/>
      <c r="BC61" s="2084"/>
      <c r="BD61" s="2084"/>
      <c r="BE61" s="2084"/>
      <c r="BF61" s="2084"/>
      <c r="BG61" s="2084"/>
      <c r="BH61" s="2084"/>
      <c r="BI61" s="2085"/>
      <c r="BJ61" s="2083"/>
      <c r="BK61" s="2084"/>
      <c r="BL61" s="2084"/>
      <c r="BM61" s="2084"/>
      <c r="BN61" s="2084"/>
      <c r="BO61" s="2084"/>
      <c r="BP61" s="2084"/>
      <c r="BQ61" s="2085"/>
      <c r="BR61" s="2083"/>
      <c r="BS61" s="2084"/>
      <c r="BT61" s="2084"/>
      <c r="BU61" s="2084"/>
      <c r="BV61" s="2084"/>
      <c r="BW61" s="2084"/>
      <c r="BX61" s="2084"/>
      <c r="BY61" s="2085"/>
      <c r="BZ61" s="2083"/>
      <c r="CA61" s="2084"/>
      <c r="CB61" s="2084"/>
      <c r="CC61" s="2084"/>
      <c r="CD61" s="2084"/>
      <c r="CE61" s="2084"/>
      <c r="CF61" s="2084"/>
      <c r="CG61" s="2085"/>
      <c r="CH61" s="2083"/>
      <c r="CI61" s="2084"/>
      <c r="CJ61" s="2084"/>
      <c r="CK61" s="2084"/>
      <c r="CL61" s="2084"/>
      <c r="CM61" s="2084"/>
      <c r="CN61" s="2084"/>
      <c r="CO61" s="2085"/>
      <c r="CP61" s="2085"/>
      <c r="CQ61" s="1273" t="s">
        <v>403</v>
      </c>
      <c r="CR61" s="1667"/>
      <c r="CS61" s="1649"/>
      <c r="CT61" s="1649" t="str">
        <f>IF(T61="","",T61)</f>
        <v>Наименование тарифа</v>
      </c>
      <c r="CU61" s="1649"/>
      <c r="CV61" s="1649"/>
    </row>
    <row s="2437" customFormat="1" customHeight="1" ht="21">
      <c r="A62" s="1380"/>
      <c r="B62" s="1380" t="s">
        <v>172</v>
      </c>
      <c r="C62" s="1380"/>
      <c r="D62" s="1380"/>
      <c r="E62" s="2090">
        <v>1</v>
      </c>
      <c r="F62" s="2089">
        <v>1</v>
      </c>
      <c r="G62" s="1380"/>
      <c r="H62" s="1380"/>
      <c r="I62" s="1380"/>
      <c r="J62" s="1380"/>
      <c r="K62" s="1380"/>
      <c r="L62" s="1386"/>
      <c r="M62" s="1382"/>
      <c r="N62" s="1382"/>
      <c r="O62" s="1382"/>
      <c r="P62" s="1951"/>
      <c r="Q62" s="340"/>
      <c r="R62" s="341"/>
      <c r="S62" s="2107" t="str">
        <f>INDEX(PT_DIFFERENTIATION_NUM_TER,MATCH(B62,PT_DIFFERENTIATION_TER_ID,0))</f>
        <v>2.1</v>
      </c>
      <c r="T62" s="1539" t="s">
        <v>404</v>
      </c>
      <c r="U62" s="280"/>
      <c r="V62" s="2083"/>
      <c r="W62" s="2084"/>
      <c r="X62" s="2084"/>
      <c r="Y62" s="2084"/>
      <c r="Z62" s="2084"/>
      <c r="AA62" s="2084"/>
      <c r="AB62" s="2084"/>
      <c r="AC62" s="2085"/>
      <c r="AD62" s="2083" t="str">
        <f>INDEX(PT_DIFFERENTIATION_TER,MATCH(B62,PT_DIFFERENTIATION_TER_ID,0))</f>
        <v>Территория 1</v>
      </c>
      <c r="AE62" s="2084"/>
      <c r="AF62" s="2084"/>
      <c r="AG62" s="2084"/>
      <c r="AH62" s="2084"/>
      <c r="AI62" s="2084"/>
      <c r="AJ62" s="2084"/>
      <c r="AK62" s="2084"/>
      <c r="AL62" s="2083"/>
      <c r="AM62" s="2084"/>
      <c r="AN62" s="2084"/>
      <c r="AO62" s="2084"/>
      <c r="AP62" s="2084"/>
      <c r="AQ62" s="2084"/>
      <c r="AR62" s="2084"/>
      <c r="AS62" s="2085"/>
      <c r="AT62" s="2083"/>
      <c r="AU62" s="2084"/>
      <c r="AV62" s="2084"/>
      <c r="AW62" s="2084"/>
      <c r="AX62" s="2084"/>
      <c r="AY62" s="2084"/>
      <c r="AZ62" s="2084"/>
      <c r="BA62" s="2085"/>
      <c r="BB62" s="2083"/>
      <c r="BC62" s="2084"/>
      <c r="BD62" s="2084"/>
      <c r="BE62" s="2084"/>
      <c r="BF62" s="2084"/>
      <c r="BG62" s="2084"/>
      <c r="BH62" s="2084"/>
      <c r="BI62" s="2085"/>
      <c r="BJ62" s="2083"/>
      <c r="BK62" s="2084"/>
      <c r="BL62" s="2084"/>
      <c r="BM62" s="2084"/>
      <c r="BN62" s="2084"/>
      <c r="BO62" s="2084"/>
      <c r="BP62" s="2084"/>
      <c r="BQ62" s="2085"/>
      <c r="BR62" s="2083"/>
      <c r="BS62" s="2084"/>
      <c r="BT62" s="2084"/>
      <c r="BU62" s="2084"/>
      <c r="BV62" s="2084"/>
      <c r="BW62" s="2084"/>
      <c r="BX62" s="2084"/>
      <c r="BY62" s="2085"/>
      <c r="BZ62" s="2083"/>
      <c r="CA62" s="2084"/>
      <c r="CB62" s="2084"/>
      <c r="CC62" s="2084"/>
      <c r="CD62" s="2084"/>
      <c r="CE62" s="2084"/>
      <c r="CF62" s="2084"/>
      <c r="CG62" s="2085"/>
      <c r="CH62" s="2083"/>
      <c r="CI62" s="2084"/>
      <c r="CJ62" s="2084"/>
      <c r="CK62" s="2084"/>
      <c r="CL62" s="2084"/>
      <c r="CM62" s="2084"/>
      <c r="CN62" s="2084"/>
      <c r="CO62" s="2085"/>
      <c r="CP62" s="2085"/>
      <c r="CQ62" s="1273" t="s">
        <v>405</v>
      </c>
      <c r="CR62" s="1667"/>
      <c r="CS62" s="1649"/>
      <c r="CT62" s="1649" t="str">
        <f>IF(T62="","",T62)</f>
        <v>Территория действия тарифа</v>
      </c>
      <c r="CU62" s="1649"/>
      <c r="CV62" s="1649"/>
    </row>
    <row s="2437" customFormat="1" customHeight="1" ht="23.25">
      <c r="A63" s="1380"/>
      <c r="B63" s="1380"/>
      <c r="C63" s="1380" t="s">
        <v>173</v>
      </c>
      <c r="D63" s="1380"/>
      <c r="E63" s="2090">
        <v>1</v>
      </c>
      <c r="F63" s="2090"/>
      <c r="G63" s="2089">
        <v>1</v>
      </c>
      <c r="H63" s="1380"/>
      <c r="I63" s="1380"/>
      <c r="J63" s="1380"/>
      <c r="K63" s="1380"/>
      <c r="L63" s="1386"/>
      <c r="M63" s="1382"/>
      <c r="N63" s="1382"/>
      <c r="O63" s="1382"/>
      <c r="P63" s="342"/>
      <c r="Q63" s="340"/>
      <c r="R63" s="341"/>
      <c r="S63" s="2107" t="str">
        <f>INDEX(PT_DIFFERENTIATION_NUM_CS,MATCH(C63,PT_DIFFERENTIATION_CS_ID,0))</f>
        <v>2.1.1</v>
      </c>
      <c r="T63" s="291" t="s">
        <v>406</v>
      </c>
      <c r="U63" s="280"/>
      <c r="V63" s="2083"/>
      <c r="W63" s="2084"/>
      <c r="X63" s="2084"/>
      <c r="Y63" s="2084"/>
      <c r="Z63" s="2084"/>
      <c r="AA63" s="2084"/>
      <c r="AB63" s="2084"/>
      <c r="AC63" s="2085"/>
      <c r="AD63" s="2083" t="str">
        <f>INDEX(PT_DIFFERENTIATION_CS,MATCH(C63,PT_DIFFERENTIATION_CS_ID,0))</f>
        <v>без дифференциации</v>
      </c>
      <c r="AE63" s="2084"/>
      <c r="AF63" s="2084"/>
      <c r="AG63" s="2084"/>
      <c r="AH63" s="2084"/>
      <c r="AI63" s="2084"/>
      <c r="AJ63" s="2084"/>
      <c r="AK63" s="2084"/>
      <c r="AL63" s="2083"/>
      <c r="AM63" s="2084"/>
      <c r="AN63" s="2084"/>
      <c r="AO63" s="2084"/>
      <c r="AP63" s="2084"/>
      <c r="AQ63" s="2084"/>
      <c r="AR63" s="2084"/>
      <c r="AS63" s="2085"/>
      <c r="AT63" s="2083"/>
      <c r="AU63" s="2084"/>
      <c r="AV63" s="2084"/>
      <c r="AW63" s="2084"/>
      <c r="AX63" s="2084"/>
      <c r="AY63" s="2084"/>
      <c r="AZ63" s="2084"/>
      <c r="BA63" s="2085"/>
      <c r="BB63" s="2083"/>
      <c r="BC63" s="2084"/>
      <c r="BD63" s="2084"/>
      <c r="BE63" s="2084"/>
      <c r="BF63" s="2084"/>
      <c r="BG63" s="2084"/>
      <c r="BH63" s="2084"/>
      <c r="BI63" s="2085"/>
      <c r="BJ63" s="2083"/>
      <c r="BK63" s="2084"/>
      <c r="BL63" s="2084"/>
      <c r="BM63" s="2084"/>
      <c r="BN63" s="2084"/>
      <c r="BO63" s="2084"/>
      <c r="BP63" s="2084"/>
      <c r="BQ63" s="2085"/>
      <c r="BR63" s="2083"/>
      <c r="BS63" s="2084"/>
      <c r="BT63" s="2084"/>
      <c r="BU63" s="2084"/>
      <c r="BV63" s="2084"/>
      <c r="BW63" s="2084"/>
      <c r="BX63" s="2084"/>
      <c r="BY63" s="2085"/>
      <c r="BZ63" s="2083"/>
      <c r="CA63" s="2084"/>
      <c r="CB63" s="2084"/>
      <c r="CC63" s="2084"/>
      <c r="CD63" s="2084"/>
      <c r="CE63" s="2084"/>
      <c r="CF63" s="2084"/>
      <c r="CG63" s="2085"/>
      <c r="CH63" s="2083"/>
      <c r="CI63" s="2084"/>
      <c r="CJ63" s="2084"/>
      <c r="CK63" s="2084"/>
      <c r="CL63" s="2084"/>
      <c r="CM63" s="2084"/>
      <c r="CN63" s="2084"/>
      <c r="CO63" s="2085"/>
      <c r="CP63" s="2085"/>
      <c r="CQ63" s="1273" t="s">
        <v>407</v>
      </c>
      <c r="CR63" s="1667"/>
      <c r="CS63" s="1649"/>
      <c r="CT63" s="1649" t="str">
        <f>IF(T63="","",T63)</f>
        <v>Наименование системы теплоснабжения </v>
      </c>
      <c r="CU63" s="1649"/>
      <c r="CV63" s="1649"/>
    </row>
    <row s="2437" customFormat="1" customHeight="1" ht="21">
      <c r="A64" s="1380"/>
      <c r="B64" s="1380"/>
      <c r="C64" s="1380"/>
      <c r="D64" s="1380" t="s">
        <v>174</v>
      </c>
      <c r="E64" s="2090">
        <v>1</v>
      </c>
      <c r="F64" s="2090"/>
      <c r="G64" s="2090"/>
      <c r="H64" s="2089">
        <v>1</v>
      </c>
      <c r="I64" s="1380"/>
      <c r="J64" s="1380"/>
      <c r="K64" s="1380"/>
      <c r="L64" s="1386"/>
      <c r="M64" s="1382"/>
      <c r="N64" s="1382"/>
      <c r="O64" s="1382"/>
      <c r="P64" s="342"/>
      <c r="Q64" s="340"/>
      <c r="R64" s="341"/>
      <c r="S64" s="2107" t="str">
        <f>INDEX(PT_DIFFERENTIATION_NUM_IST_TE,MATCH(D64,PT_DIFFERENTIATION_IST_TE_ID,0))</f>
        <v>2.1.1.1</v>
      </c>
      <c r="T64" s="292" t="s">
        <v>408</v>
      </c>
      <c r="U64" s="280"/>
      <c r="V64" s="2083"/>
      <c r="W64" s="2084"/>
      <c r="X64" s="2084"/>
      <c r="Y64" s="2084"/>
      <c r="Z64" s="2084"/>
      <c r="AA64" s="2084"/>
      <c r="AB64" s="2084"/>
      <c r="AC64" s="2085"/>
      <c r="AD64" s="2083" t="str">
        <f>INDEX(PT_DIFFERENTIATION_IST_TE,MATCH(D64,PT_DIFFERENTIATION_IST_TE_ID,0))</f>
        <v>без дифференциации</v>
      </c>
      <c r="AE64" s="2084"/>
      <c r="AF64" s="2084"/>
      <c r="AG64" s="2084"/>
      <c r="AH64" s="2084"/>
      <c r="AI64" s="2084"/>
      <c r="AJ64" s="2084"/>
      <c r="AK64" s="2084"/>
      <c r="AL64" s="2083"/>
      <c r="AM64" s="2084"/>
      <c r="AN64" s="2084"/>
      <c r="AO64" s="2084"/>
      <c r="AP64" s="2084"/>
      <c r="AQ64" s="2084"/>
      <c r="AR64" s="2084"/>
      <c r="AS64" s="2085"/>
      <c r="AT64" s="2083"/>
      <c r="AU64" s="2084"/>
      <c r="AV64" s="2084"/>
      <c r="AW64" s="2084"/>
      <c r="AX64" s="2084"/>
      <c r="AY64" s="2084"/>
      <c r="AZ64" s="2084"/>
      <c r="BA64" s="2085"/>
      <c r="BB64" s="2083"/>
      <c r="BC64" s="2084"/>
      <c r="BD64" s="2084"/>
      <c r="BE64" s="2084"/>
      <c r="BF64" s="2084"/>
      <c r="BG64" s="2084"/>
      <c r="BH64" s="2084"/>
      <c r="BI64" s="2085"/>
      <c r="BJ64" s="2083"/>
      <c r="BK64" s="2084"/>
      <c r="BL64" s="2084"/>
      <c r="BM64" s="2084"/>
      <c r="BN64" s="2084"/>
      <c r="BO64" s="2084"/>
      <c r="BP64" s="2084"/>
      <c r="BQ64" s="2085"/>
      <c r="BR64" s="2083"/>
      <c r="BS64" s="2084"/>
      <c r="BT64" s="2084"/>
      <c r="BU64" s="2084"/>
      <c r="BV64" s="2084"/>
      <c r="BW64" s="2084"/>
      <c r="BX64" s="2084"/>
      <c r="BY64" s="2085"/>
      <c r="BZ64" s="2083"/>
      <c r="CA64" s="2084"/>
      <c r="CB64" s="2084"/>
      <c r="CC64" s="2084"/>
      <c r="CD64" s="2084"/>
      <c r="CE64" s="2084"/>
      <c r="CF64" s="2084"/>
      <c r="CG64" s="2085"/>
      <c r="CH64" s="2083"/>
      <c r="CI64" s="2084"/>
      <c r="CJ64" s="2084"/>
      <c r="CK64" s="2084"/>
      <c r="CL64" s="2084"/>
      <c r="CM64" s="2084"/>
      <c r="CN64" s="2084"/>
      <c r="CO64" s="2085"/>
      <c r="CP64" s="2085"/>
      <c r="CQ64" s="1273" t="s">
        <v>409</v>
      </c>
      <c r="CR64" s="1667"/>
      <c r="CS64" s="1649"/>
      <c r="CT64" s="1649" t="str">
        <f>IF(T64="","",T64)</f>
        <v>Источник тепловой энергии  </v>
      </c>
      <c r="CU64" s="1649"/>
      <c r="CV64" s="1649"/>
    </row>
    <row s="2437" customFormat="1" customHeight="1" ht="47.25">
      <c r="A65" s="1380"/>
      <c r="B65" s="1380"/>
      <c r="C65" s="1380"/>
      <c r="D65" s="1380"/>
      <c r="E65" s="2090">
        <v>1</v>
      </c>
      <c r="F65" s="2090"/>
      <c r="G65" s="2090"/>
      <c r="H65" s="2090"/>
      <c r="I65" s="2091" t="str">
        <f>S64&amp;".1"</f>
        <v>2.1.1.1.1</v>
      </c>
      <c r="J65" s="1380"/>
      <c r="K65" s="1380"/>
      <c r="L65" s="1386" t="s">
        <v>410</v>
      </c>
      <c r="M65" s="1383"/>
      <c r="N65" s="1801"/>
      <c r="O65" s="1801"/>
      <c r="P65" s="2205">
        <v>1</v>
      </c>
      <c r="Q65" s="2205"/>
      <c r="R65" s="344"/>
      <c r="S65" s="2107" t="str">
        <f>$I65</f>
        <v>2.1.1.1.1</v>
      </c>
      <c r="T65" s="266" t="s">
        <v>411</v>
      </c>
      <c r="U65" s="280"/>
      <c r="V65" s="2077"/>
      <c r="W65" s="2078"/>
      <c r="X65" s="2078"/>
      <c r="Y65" s="2078"/>
      <c r="Z65" s="2078"/>
      <c r="AA65" s="2078"/>
      <c r="AB65" s="2078"/>
      <c r="AC65" s="2079"/>
      <c r="AD65" s="2077" t="s">
        <v>453</v>
      </c>
      <c r="AE65" s="2078"/>
      <c r="AF65" s="2078"/>
      <c r="AG65" s="2078"/>
      <c r="AH65" s="2078"/>
      <c r="AI65" s="2078"/>
      <c r="AJ65" s="2078"/>
      <c r="AK65" s="2078"/>
      <c r="AL65" s="2077"/>
      <c r="AM65" s="2078"/>
      <c r="AN65" s="2078"/>
      <c r="AO65" s="2078"/>
      <c r="AP65" s="2078"/>
      <c r="AQ65" s="2078"/>
      <c r="AR65" s="2078"/>
      <c r="AS65" s="2079"/>
      <c r="AT65" s="2077"/>
      <c r="AU65" s="2078"/>
      <c r="AV65" s="2078"/>
      <c r="AW65" s="2078"/>
      <c r="AX65" s="2078"/>
      <c r="AY65" s="2078"/>
      <c r="AZ65" s="2078"/>
      <c r="BA65" s="2079"/>
      <c r="BB65" s="2077"/>
      <c r="BC65" s="2078"/>
      <c r="BD65" s="2078"/>
      <c r="BE65" s="2078"/>
      <c r="BF65" s="2078"/>
      <c r="BG65" s="2078"/>
      <c r="BH65" s="2078"/>
      <c r="BI65" s="2079"/>
      <c r="BJ65" s="2077"/>
      <c r="BK65" s="2078"/>
      <c r="BL65" s="2078"/>
      <c r="BM65" s="2078"/>
      <c r="BN65" s="2078"/>
      <c r="BO65" s="2078"/>
      <c r="BP65" s="2078"/>
      <c r="BQ65" s="2079"/>
      <c r="BR65" s="2077"/>
      <c r="BS65" s="2078"/>
      <c r="BT65" s="2078"/>
      <c r="BU65" s="2078"/>
      <c r="BV65" s="2078"/>
      <c r="BW65" s="2078"/>
      <c r="BX65" s="2078"/>
      <c r="BY65" s="2079"/>
      <c r="BZ65" s="2077"/>
      <c r="CA65" s="2078"/>
      <c r="CB65" s="2078"/>
      <c r="CC65" s="2078"/>
      <c r="CD65" s="2078"/>
      <c r="CE65" s="2078"/>
      <c r="CF65" s="2078"/>
      <c r="CG65" s="2079"/>
      <c r="CH65" s="2077"/>
      <c r="CI65" s="2078"/>
      <c r="CJ65" s="2078"/>
      <c r="CK65" s="2078"/>
      <c r="CL65" s="2078"/>
      <c r="CM65" s="2078"/>
      <c r="CN65" s="2078"/>
      <c r="CO65" s="2079"/>
      <c r="CP65" s="2079"/>
      <c r="CQ65" s="1273" t="s">
        <v>412</v>
      </c>
      <c r="CR65" s="1667"/>
      <c r="CS65" s="1649"/>
      <c r="CT65" s="1649" t="str">
        <f>IF(T65="","",T65)</f>
        <v>Схема подключения теплопотребляющей установки к коллектору источника тепловой энергии</v>
      </c>
      <c r="CU65" s="1649"/>
      <c r="CV65" s="1649"/>
    </row>
    <row s="2437" customFormat="1" customHeight="1" ht="21">
      <c r="A66" s="1380"/>
      <c r="B66" s="1380"/>
      <c r="C66" s="1380"/>
      <c r="D66" s="1380"/>
      <c r="E66" s="2090">
        <v>1</v>
      </c>
      <c r="F66" s="2090"/>
      <c r="G66" s="2090"/>
      <c r="H66" s="2090"/>
      <c r="I66" s="2092"/>
      <c r="J66" s="2091" t="str">
        <f>I65&amp;".1"</f>
        <v>2.1.1.1.1.1</v>
      </c>
      <c r="K66" s="1380"/>
      <c r="L66" s="1386" t="s">
        <v>413</v>
      </c>
      <c r="M66" s="1383"/>
      <c r="N66" s="1383"/>
      <c r="O66" s="1801"/>
      <c r="P66" s="2205"/>
      <c r="Q66" s="2205">
        <v>1</v>
      </c>
      <c r="R66" s="345"/>
      <c r="S66" s="2107" t="str">
        <f>$J66</f>
        <v>2.1.1.1.1.1</v>
      </c>
      <c r="T66" s="267" t="s">
        <v>414</v>
      </c>
      <c r="U66" s="280"/>
      <c r="V66" s="2077"/>
      <c r="W66" s="2078"/>
      <c r="X66" s="2078"/>
      <c r="Y66" s="2078"/>
      <c r="Z66" s="2078"/>
      <c r="AA66" s="2078"/>
      <c r="AB66" s="2078"/>
      <c r="AC66" s="2079"/>
      <c r="AD66" s="2077" t="s">
        <v>454</v>
      </c>
      <c r="AE66" s="2078"/>
      <c r="AF66" s="2078"/>
      <c r="AG66" s="2078"/>
      <c r="AH66" s="2078"/>
      <c r="AI66" s="2078"/>
      <c r="AJ66" s="2078"/>
      <c r="AK66" s="2078"/>
      <c r="AL66" s="2077"/>
      <c r="AM66" s="2078"/>
      <c r="AN66" s="2078"/>
      <c r="AO66" s="2078"/>
      <c r="AP66" s="2078"/>
      <c r="AQ66" s="2078"/>
      <c r="AR66" s="2078"/>
      <c r="AS66" s="2079"/>
      <c r="AT66" s="2077"/>
      <c r="AU66" s="2078"/>
      <c r="AV66" s="2078"/>
      <c r="AW66" s="2078"/>
      <c r="AX66" s="2078"/>
      <c r="AY66" s="2078"/>
      <c r="AZ66" s="2078"/>
      <c r="BA66" s="2079"/>
      <c r="BB66" s="2077"/>
      <c r="BC66" s="2078"/>
      <c r="BD66" s="2078"/>
      <c r="BE66" s="2078"/>
      <c r="BF66" s="2078"/>
      <c r="BG66" s="2078"/>
      <c r="BH66" s="2078"/>
      <c r="BI66" s="2079"/>
      <c r="BJ66" s="2077"/>
      <c r="BK66" s="2078"/>
      <c r="BL66" s="2078"/>
      <c r="BM66" s="2078"/>
      <c r="BN66" s="2078"/>
      <c r="BO66" s="2078"/>
      <c r="BP66" s="2078"/>
      <c r="BQ66" s="2079"/>
      <c r="BR66" s="2077"/>
      <c r="BS66" s="2078"/>
      <c r="BT66" s="2078"/>
      <c r="BU66" s="2078"/>
      <c r="BV66" s="2078"/>
      <c r="BW66" s="2078"/>
      <c r="BX66" s="2078"/>
      <c r="BY66" s="2079"/>
      <c r="BZ66" s="2077"/>
      <c r="CA66" s="2078"/>
      <c r="CB66" s="2078"/>
      <c r="CC66" s="2078"/>
      <c r="CD66" s="2078"/>
      <c r="CE66" s="2078"/>
      <c r="CF66" s="2078"/>
      <c r="CG66" s="2079"/>
      <c r="CH66" s="2077"/>
      <c r="CI66" s="2078"/>
      <c r="CJ66" s="2078"/>
      <c r="CK66" s="2078"/>
      <c r="CL66" s="2078"/>
      <c r="CM66" s="2078"/>
      <c r="CN66" s="2078"/>
      <c r="CO66" s="2079"/>
      <c r="CP66" s="2079"/>
      <c r="CQ66" s="1273" t="s">
        <v>415</v>
      </c>
      <c r="CR66" s="1667"/>
      <c r="CS66" s="1649"/>
      <c r="CT66" s="1649" t="str">
        <f>IF(T66="","",T66)</f>
        <v>Группа потребителей</v>
      </c>
      <c r="CU66" s="1649"/>
      <c r="CV66" s="1649"/>
    </row>
    <row s="2437" customFormat="1" customHeight="1" ht="21">
      <c r="A67" s="1380"/>
      <c r="B67" s="1380"/>
      <c r="C67" s="1380"/>
      <c r="D67" s="1380"/>
      <c r="E67" s="2090">
        <v>1</v>
      </c>
      <c r="F67" s="2090"/>
      <c r="G67" s="2090"/>
      <c r="H67" s="2090"/>
      <c r="I67" s="2092"/>
      <c r="J67" s="2092"/>
      <c r="K67" s="2091" t="str">
        <f>J66&amp;".1"</f>
        <v>2.1.1.1.1.1.1</v>
      </c>
      <c r="L67" s="1386" t="s">
        <v>416</v>
      </c>
      <c r="M67" s="1383"/>
      <c r="N67" s="1383"/>
      <c r="O67" s="1383"/>
      <c r="P67" s="2205"/>
      <c r="Q67" s="2205"/>
      <c r="R67" s="345">
        <v>1</v>
      </c>
      <c r="S67" s="2107" t="str">
        <f>$K67</f>
        <v>2.1.1.1.1.1.1</v>
      </c>
      <c r="T67" s="1364" t="s">
        <v>455</v>
      </c>
      <c r="U67" s="280"/>
      <c r="V67" s="1377"/>
      <c r="W67" s="1377"/>
      <c r="X67" s="1377"/>
      <c r="Y67" s="1378"/>
      <c r="Z67" s="2087"/>
      <c r="AA67" s="2086" t="s">
        <v>66</v>
      </c>
      <c r="AB67" s="2087"/>
      <c r="AC67" s="2086" t="s">
        <v>66</v>
      </c>
      <c r="AD67" s="746">
        <v>2452.17</v>
      </c>
      <c r="AE67" s="312"/>
      <c r="AF67" s="746"/>
      <c r="AG67" s="1272"/>
      <c r="AH67" s="2425">
        <v>45292.59212962963</v>
      </c>
      <c r="AI67" s="1963" t="s">
        <v>66</v>
      </c>
      <c r="AJ67" s="2425">
        <v>45473.59216435185</v>
      </c>
      <c r="AK67" s="1963" t="s">
        <v>66</v>
      </c>
      <c r="AL67" s="746">
        <v>2483.97</v>
      </c>
      <c r="AM67" s="312"/>
      <c r="AN67" s="746"/>
      <c r="AO67" s="1272"/>
      <c r="AP67" s="2425">
        <v>45474.592361111114</v>
      </c>
      <c r="AQ67" s="1963" t="s">
        <v>66</v>
      </c>
      <c r="AR67" s="2425">
        <v>45838.592465277776</v>
      </c>
      <c r="AS67" s="1963" t="s">
        <v>66</v>
      </c>
      <c r="AT67" s="746">
        <v>2571.36</v>
      </c>
      <c r="AU67" s="312"/>
      <c r="AV67" s="746"/>
      <c r="AW67" s="1272"/>
      <c r="AX67" s="2425">
        <v>45839.592685185184</v>
      </c>
      <c r="AY67" s="1963" t="s">
        <v>66</v>
      </c>
      <c r="AZ67" s="2425">
        <v>46203.59276620371</v>
      </c>
      <c r="BA67" s="1963" t="s">
        <v>66</v>
      </c>
      <c r="BB67" s="746">
        <v>2612.68</v>
      </c>
      <c r="BC67" s="312"/>
      <c r="BD67" s="746"/>
      <c r="BE67" s="1272"/>
      <c r="BF67" s="2425">
        <v>46204.59292824074</v>
      </c>
      <c r="BG67" s="1963" t="s">
        <v>66</v>
      </c>
      <c r="BH67" s="2425">
        <v>46387.592986111114</v>
      </c>
      <c r="BI67" s="1963" t="s">
        <v>66</v>
      </c>
      <c r="BJ67" s="746">
        <v>2599.68</v>
      </c>
      <c r="BK67" s="312"/>
      <c r="BL67" s="746"/>
      <c r="BM67" s="1272"/>
      <c r="BN67" s="2425">
        <v>46388.593252314815</v>
      </c>
      <c r="BO67" s="1963" t="s">
        <v>66</v>
      </c>
      <c r="BP67" s="2425">
        <v>46934.59334490741</v>
      </c>
      <c r="BQ67" s="1963" t="s">
        <v>66</v>
      </c>
      <c r="BR67" s="746">
        <v>2812.62</v>
      </c>
      <c r="BS67" s="312"/>
      <c r="BT67" s="746"/>
      <c r="BU67" s="1272"/>
      <c r="BV67" s="2425">
        <v>46935.593506944446</v>
      </c>
      <c r="BW67" s="1963" t="s">
        <v>66</v>
      </c>
      <c r="BX67" s="2425">
        <v>47118.593564814815</v>
      </c>
      <c r="BY67" s="1963" t="s">
        <v>56</v>
      </c>
      <c r="BZ67" s="1377"/>
      <c r="CA67" s="1377"/>
      <c r="CB67" s="1377"/>
      <c r="CC67" s="1378"/>
      <c r="CD67" s="2087"/>
      <c r="CE67" s="2086" t="s">
        <v>66</v>
      </c>
      <c r="CF67" s="2087"/>
      <c r="CG67" s="2086" t="s">
        <v>66</v>
      </c>
      <c r="CH67" s="1377"/>
      <c r="CI67" s="1377"/>
      <c r="CJ67" s="1377"/>
      <c r="CK67" s="1378"/>
      <c r="CL67" s="2087"/>
      <c r="CM67" s="2086" t="s">
        <v>66</v>
      </c>
      <c r="CN67" s="2087"/>
      <c r="CO67" s="2086" t="s">
        <v>66</v>
      </c>
      <c r="CP67" s="312"/>
      <c r="CQ67" s="2119" t="s">
        <v>417</v>
      </c>
      <c r="CR67" s="1667">
        <f>STRCHECKDATE(V68:CP68)</f>
      </c>
      <c r="CS67" s="1649"/>
      <c r="CT67" s="1649" t="str">
        <f>IF(T67="","",T67)</f>
        <v>вода</v>
      </c>
      <c r="CU67" s="1649"/>
      <c r="CV67" s="1649"/>
    </row>
    <row s="2437" customFormat="1" customHeight="1" ht="0.75">
      <c r="A68" s="1380"/>
      <c r="B68" s="1380"/>
      <c r="C68" s="1380"/>
      <c r="D68" s="1380"/>
      <c r="E68" s="2090">
        <v>1</v>
      </c>
      <c r="F68" s="2090"/>
      <c r="G68" s="2090"/>
      <c r="H68" s="2090"/>
      <c r="I68" s="2092"/>
      <c r="J68" s="2092"/>
      <c r="K68" s="2091"/>
      <c r="L68" s="1386"/>
      <c r="M68" s="1383"/>
      <c r="N68" s="1383"/>
      <c r="O68" s="1383"/>
      <c r="P68" s="2205"/>
      <c r="Q68" s="2205"/>
      <c r="R68" s="345"/>
      <c r="S68" s="2349"/>
      <c r="T68" s="280"/>
      <c r="U68" s="280"/>
      <c r="V68" s="1377"/>
      <c r="W68" s="1377"/>
      <c r="X68" s="1377"/>
      <c r="Y68" s="316" t="str">
        <f>Z67&amp;"-"&amp;AB67</f>
        <v>-</v>
      </c>
      <c r="Z68" s="2086"/>
      <c r="AA68" s="2086"/>
      <c r="AB68" s="2086"/>
      <c r="AC68" s="2086"/>
      <c r="AD68" s="312"/>
      <c r="AE68" s="312"/>
      <c r="AF68" s="312"/>
      <c r="AG68" s="316" t="str">
        <f>AH67&amp;"-"&amp;AJ67</f>
        <v>45292.59212962963-45473.59216435185</v>
      </c>
      <c r="AH68" s="2134"/>
      <c r="AI68" s="1963"/>
      <c r="AJ68" s="2134"/>
      <c r="AK68" s="1963"/>
      <c r="AL68" s="312"/>
      <c r="AM68" s="312"/>
      <c r="AN68" s="312"/>
      <c r="AO68" s="316" t="str">
        <f>AP67&amp;"-"&amp;AR67</f>
        <v>45474.592361111114-45838.592465277776</v>
      </c>
      <c r="AP68" s="2134"/>
      <c r="AQ68" s="1963"/>
      <c r="AR68" s="2134"/>
      <c r="AS68" s="1963"/>
      <c r="AT68" s="312"/>
      <c r="AU68" s="312"/>
      <c r="AV68" s="312"/>
      <c r="AW68" s="316" t="str">
        <f>AX67&amp;"-"&amp;AZ67</f>
        <v>45839.592685185184-46203.59276620371</v>
      </c>
      <c r="AX68" s="2134"/>
      <c r="AY68" s="1963"/>
      <c r="AZ68" s="2134"/>
      <c r="BA68" s="1963"/>
      <c r="BB68" s="312"/>
      <c r="BC68" s="312"/>
      <c r="BD68" s="312"/>
      <c r="BE68" s="316" t="str">
        <f>BF67&amp;"-"&amp;BH67</f>
        <v>46204.59292824074-46387.592986111114</v>
      </c>
      <c r="BF68" s="2134"/>
      <c r="BG68" s="1963"/>
      <c r="BH68" s="2134"/>
      <c r="BI68" s="1963"/>
      <c r="BJ68" s="312"/>
      <c r="BK68" s="312"/>
      <c r="BL68" s="312"/>
      <c r="BM68" s="316" t="str">
        <f>BN67&amp;"-"&amp;BP67</f>
        <v>46388.593252314815-46934.59334490741</v>
      </c>
      <c r="BN68" s="2134"/>
      <c r="BO68" s="1963"/>
      <c r="BP68" s="2134"/>
      <c r="BQ68" s="1963"/>
      <c r="BR68" s="312"/>
      <c r="BS68" s="312"/>
      <c r="BT68" s="312"/>
      <c r="BU68" s="316" t="str">
        <f>BV67&amp;"-"&amp;BX67</f>
        <v>46935.593506944446-47118.593564814815</v>
      </c>
      <c r="BV68" s="2134"/>
      <c r="BW68" s="1963"/>
      <c r="BX68" s="2134"/>
      <c r="BY68" s="1963"/>
      <c r="BZ68" s="1377"/>
      <c r="CA68" s="1377"/>
      <c r="CB68" s="1377"/>
      <c r="CC68" s="316" t="str">
        <f>CD67&amp;"-"&amp;CF67</f>
        <v>-</v>
      </c>
      <c r="CD68" s="2086"/>
      <c r="CE68" s="2086"/>
      <c r="CF68" s="2086"/>
      <c r="CG68" s="2086"/>
      <c r="CH68" s="1377"/>
      <c r="CI68" s="1377"/>
      <c r="CJ68" s="1377"/>
      <c r="CK68" s="316" t="str">
        <f>CL67&amp;"-"&amp;CN67</f>
        <v>-</v>
      </c>
      <c r="CL68" s="2086"/>
      <c r="CM68" s="2086"/>
      <c r="CN68" s="2086"/>
      <c r="CO68" s="2086"/>
      <c r="CP68" s="312"/>
      <c r="CQ68" s="2120"/>
      <c r="CR68" s="1667"/>
      <c r="CS68" s="1649"/>
      <c r="CT68" s="1649" t="str">
        <f>IF(T68="","",T68)</f>
        <v/>
      </c>
      <c r="CU68" s="1649"/>
      <c r="CV68" s="1649"/>
    </row>
    <row s="2437" customFormat="1" customHeight="1" ht="15">
      <c r="A69" s="1380"/>
      <c r="B69" s="1380"/>
      <c r="C69" s="1380"/>
      <c r="D69" s="1380"/>
      <c r="E69" s="2090">
        <v>1</v>
      </c>
      <c r="F69" s="2090"/>
      <c r="G69" s="2090"/>
      <c r="H69" s="2090"/>
      <c r="I69" s="2092"/>
      <c r="J69" s="2091"/>
      <c r="K69" s="1380"/>
      <c r="L69" s="1386"/>
      <c r="M69" s="1383"/>
      <c r="N69" s="1383"/>
      <c r="O69" s="1801"/>
      <c r="P69" s="2205"/>
      <c r="Q69" s="2205"/>
      <c r="R69" s="344"/>
      <c r="S69" s="2980"/>
      <c r="T69" s="2981" t="s">
        <v>418</v>
      </c>
      <c r="U69" s="2982"/>
      <c r="V69" s="2983"/>
      <c r="W69" s="2984"/>
      <c r="X69" s="2985"/>
      <c r="Y69" s="2986"/>
      <c r="Z69" s="2987"/>
      <c r="AA69" s="2988"/>
      <c r="AB69" s="2989"/>
      <c r="AC69" s="2990"/>
      <c r="AD69" s="2991"/>
      <c r="AE69" s="2992"/>
      <c r="AF69" s="2993"/>
      <c r="AG69" s="2994"/>
      <c r="AH69" s="2995"/>
      <c r="AI69" s="2996"/>
      <c r="AJ69" s="2997"/>
      <c r="AK69" s="2998"/>
      <c r="AL69" s="2999"/>
      <c r="AM69" s="3000"/>
      <c r="AN69" s="3001"/>
      <c r="AO69" s="3002"/>
      <c r="AP69" s="3003"/>
      <c r="AQ69" s="3004"/>
      <c r="AR69" s="3005"/>
      <c r="AS69" s="3006"/>
      <c r="AT69" s="3007"/>
      <c r="AU69" s="3008"/>
      <c r="AV69" s="3009"/>
      <c r="AW69" s="3010"/>
      <c r="AX69" s="3011"/>
      <c r="AY69" s="3012"/>
      <c r="AZ69" s="3013"/>
      <c r="BA69" s="3014"/>
      <c r="BB69" s="3015"/>
      <c r="BC69" s="3016"/>
      <c r="BD69" s="3017"/>
      <c r="BE69" s="3018"/>
      <c r="BF69" s="3019"/>
      <c r="BG69" s="3020"/>
      <c r="BH69" s="3021"/>
      <c r="BI69" s="3022"/>
      <c r="BJ69" s="3023"/>
      <c r="BK69" s="3024"/>
      <c r="BL69" s="3025"/>
      <c r="BM69" s="3026"/>
      <c r="BN69" s="3027"/>
      <c r="BO69" s="3028"/>
      <c r="BP69" s="3029"/>
      <c r="BQ69" s="3030"/>
      <c r="BR69" s="3031"/>
      <c r="BS69" s="3032"/>
      <c r="BT69" s="3033"/>
      <c r="BU69" s="3034"/>
      <c r="BV69" s="3035"/>
      <c r="BW69" s="3036"/>
      <c r="BX69" s="3037"/>
      <c r="BY69" s="3038"/>
      <c r="BZ69" s="3039"/>
      <c r="CA69" s="3040"/>
      <c r="CB69" s="3041"/>
      <c r="CC69" s="3042"/>
      <c r="CD69" s="3043"/>
      <c r="CE69" s="3044"/>
      <c r="CF69" s="3045"/>
      <c r="CG69" s="3046"/>
      <c r="CH69" s="3047"/>
      <c r="CI69" s="3048"/>
      <c r="CJ69" s="3049"/>
      <c r="CK69" s="3050"/>
      <c r="CL69" s="3051"/>
      <c r="CM69" s="3052"/>
      <c r="CN69" s="3053"/>
      <c r="CO69" s="3054"/>
      <c r="CP69" s="3055"/>
      <c r="CQ69" s="2121"/>
      <c r="CR69" s="1667"/>
      <c r="CS69" s="1649"/>
      <c r="CT69" s="1649" t="str">
        <f>IF(T69="","",T69)</f>
        <v>Добавить вид теплоносителя (параметры теплоносителя)</v>
      </c>
      <c r="CU69" s="1649"/>
      <c r="CV69" s="1649"/>
    </row>
    <row s="2437" customFormat="1" customHeight="1" ht="15">
      <c r="A70" s="1380"/>
      <c r="B70" s="1380"/>
      <c r="C70" s="1380"/>
      <c r="D70" s="1380"/>
      <c r="E70" s="2090">
        <v>1</v>
      </c>
      <c r="F70" s="2090"/>
      <c r="G70" s="2090"/>
      <c r="H70" s="2090"/>
      <c r="I70" s="2091"/>
      <c r="J70" s="1380"/>
      <c r="K70" s="1380"/>
      <c r="L70" s="1386"/>
      <c r="M70" s="1383"/>
      <c r="N70" s="1801"/>
      <c r="O70" s="1801"/>
      <c r="P70" s="2205"/>
      <c r="Q70" s="2205"/>
      <c r="R70" s="344"/>
      <c r="S70" s="3056"/>
      <c r="T70" s="3057" t="s">
        <v>419</v>
      </c>
      <c r="U70" s="3058"/>
      <c r="V70" s="3059"/>
      <c r="W70" s="3060"/>
      <c r="X70" s="3061"/>
      <c r="Y70" s="3062"/>
      <c r="Z70" s="3063"/>
      <c r="AA70" s="3064"/>
      <c r="AB70" s="3065"/>
      <c r="AC70" s="3066"/>
      <c r="AD70" s="3067"/>
      <c r="AE70" s="3068"/>
      <c r="AF70" s="3069"/>
      <c r="AG70" s="3070"/>
      <c r="AH70" s="3071"/>
      <c r="AI70" s="3072"/>
      <c r="AJ70" s="3073"/>
      <c r="AK70" s="3074"/>
      <c r="AL70" s="3075"/>
      <c r="AM70" s="3076"/>
      <c r="AN70" s="3077"/>
      <c r="AO70" s="3078"/>
      <c r="AP70" s="3079"/>
      <c r="AQ70" s="3080"/>
      <c r="AR70" s="3081"/>
      <c r="AS70" s="3082"/>
      <c r="AT70" s="3083"/>
      <c r="AU70" s="3084"/>
      <c r="AV70" s="3085"/>
      <c r="AW70" s="3086"/>
      <c r="AX70" s="3087"/>
      <c r="AY70" s="3088"/>
      <c r="AZ70" s="3089"/>
      <c r="BA70" s="3090"/>
      <c r="BB70" s="3091"/>
      <c r="BC70" s="3092"/>
      <c r="BD70" s="3093"/>
      <c r="BE70" s="3094"/>
      <c r="BF70" s="3095"/>
      <c r="BG70" s="3096"/>
      <c r="BH70" s="3097"/>
      <c r="BI70" s="3098"/>
      <c r="BJ70" s="3099"/>
      <c r="BK70" s="3100"/>
      <c r="BL70" s="3101"/>
      <c r="BM70" s="3102"/>
      <c r="BN70" s="3103"/>
      <c r="BO70" s="3104"/>
      <c r="BP70" s="3105"/>
      <c r="BQ70" s="3106"/>
      <c r="BR70" s="3107"/>
      <c r="BS70" s="3108"/>
      <c r="BT70" s="3109"/>
      <c r="BU70" s="3110"/>
      <c r="BV70" s="3111"/>
      <c r="BW70" s="3112"/>
      <c r="BX70" s="3113"/>
      <c r="BY70" s="3114"/>
      <c r="BZ70" s="3115"/>
      <c r="CA70" s="3116"/>
      <c r="CB70" s="3117"/>
      <c r="CC70" s="3118"/>
      <c r="CD70" s="3119"/>
      <c r="CE70" s="3120"/>
      <c r="CF70" s="3121"/>
      <c r="CG70" s="3122"/>
      <c r="CH70" s="3123"/>
      <c r="CI70" s="3124"/>
      <c r="CJ70" s="3125"/>
      <c r="CK70" s="3126"/>
      <c r="CL70" s="3127"/>
      <c r="CM70" s="3128"/>
      <c r="CN70" s="3129"/>
      <c r="CO70" s="3130"/>
      <c r="CP70" s="3131"/>
      <c r="CQ70" s="3132"/>
      <c r="CR70" s="1667"/>
      <c r="CS70" s="1649"/>
      <c r="CT70" s="1649" t="str">
        <f>IF(T70="","",T70)</f>
        <v>Добавить группу потребителей</v>
      </c>
      <c r="CU70" s="1649"/>
      <c r="CV70" s="1649"/>
    </row>
    <row s="2437" customFormat="1" customHeight="1" ht="14.25">
      <c r="A71" s="1380"/>
      <c r="B71" s="1380"/>
      <c r="C71" s="1380"/>
      <c r="D71" s="1380"/>
      <c r="E71" s="2090">
        <v>1</v>
      </c>
      <c r="F71" s="2090"/>
      <c r="G71" s="2090"/>
      <c r="H71" s="2089"/>
      <c r="I71" s="1380"/>
      <c r="J71" s="1380"/>
      <c r="K71" s="1380"/>
      <c r="L71" s="1386"/>
      <c r="M71" s="1382"/>
      <c r="N71" s="1382"/>
      <c r="O71" s="1383"/>
      <c r="P71" s="1848"/>
      <c r="Q71" s="367"/>
      <c r="R71" s="343"/>
      <c r="S71" s="3133"/>
      <c r="T71" s="3134" t="s">
        <v>420</v>
      </c>
      <c r="U71" s="3135"/>
      <c r="V71" s="3136"/>
      <c r="W71" s="3137"/>
      <c r="X71" s="3138"/>
      <c r="Y71" s="3139"/>
      <c r="Z71" s="3140"/>
      <c r="AA71" s="3141"/>
      <c r="AB71" s="3142"/>
      <c r="AC71" s="3143"/>
      <c r="AD71" s="3144"/>
      <c r="AE71" s="3145"/>
      <c r="AF71" s="3146"/>
      <c r="AG71" s="3147"/>
      <c r="AH71" s="3148"/>
      <c r="AI71" s="3149"/>
      <c r="AJ71" s="3150"/>
      <c r="AK71" s="3151"/>
      <c r="AL71" s="3152"/>
      <c r="AM71" s="3153"/>
      <c r="AN71" s="3154"/>
      <c r="AO71" s="3155"/>
      <c r="AP71" s="3156"/>
      <c r="AQ71" s="3157"/>
      <c r="AR71" s="3158"/>
      <c r="AS71" s="3159"/>
      <c r="AT71" s="3160"/>
      <c r="AU71" s="3161"/>
      <c r="AV71" s="3162"/>
      <c r="AW71" s="3163"/>
      <c r="AX71" s="3164"/>
      <c r="AY71" s="3165"/>
      <c r="AZ71" s="3166"/>
      <c r="BA71" s="3167"/>
      <c r="BB71" s="3168"/>
      <c r="BC71" s="3169"/>
      <c r="BD71" s="3170"/>
      <c r="BE71" s="3171"/>
      <c r="BF71" s="3172"/>
      <c r="BG71" s="3173"/>
      <c r="BH71" s="3174"/>
      <c r="BI71" s="3175"/>
      <c r="BJ71" s="3176"/>
      <c r="BK71" s="3177"/>
      <c r="BL71" s="3178"/>
      <c r="BM71" s="3179"/>
      <c r="BN71" s="3180"/>
      <c r="BO71" s="3181"/>
      <c r="BP71" s="3182"/>
      <c r="BQ71" s="3183"/>
      <c r="BR71" s="3184"/>
      <c r="BS71" s="3185"/>
      <c r="BT71" s="3186"/>
      <c r="BU71" s="3187"/>
      <c r="BV71" s="3188"/>
      <c r="BW71" s="3189"/>
      <c r="BX71" s="3190"/>
      <c r="BY71" s="3191"/>
      <c r="BZ71" s="3192"/>
      <c r="CA71" s="3193"/>
      <c r="CB71" s="3194"/>
      <c r="CC71" s="3195"/>
      <c r="CD71" s="3196"/>
      <c r="CE71" s="3197"/>
      <c r="CF71" s="3198"/>
      <c r="CG71" s="3199"/>
      <c r="CH71" s="3200"/>
      <c r="CI71" s="3201"/>
      <c r="CJ71" s="3202"/>
      <c r="CK71" s="3203"/>
      <c r="CL71" s="3204"/>
      <c r="CM71" s="3205"/>
      <c r="CN71" s="3206"/>
      <c r="CO71" s="3207"/>
      <c r="CP71" s="3208"/>
      <c r="CQ71" s="3209"/>
      <c r="CR71" s="1667"/>
      <c r="CS71" s="1649"/>
      <c r="CT71" s="1649" t="str">
        <f>IF(T71="","",T71)</f>
        <v>Добавить схему подключения</v>
      </c>
      <c r="CU71" s="1649"/>
      <c r="CV71" s="1649"/>
    </row>
    <row s="618" customFormat="1" customHeight="1" ht="0.75">
      <c r="A72" s="1360"/>
      <c r="B72" s="1360"/>
      <c r="C72" s="1360"/>
      <c r="D72" s="1360"/>
      <c r="E72" s="2090">
        <v>1</v>
      </c>
      <c r="F72" s="2090"/>
      <c r="G72" s="2089"/>
      <c r="H72" s="1360"/>
      <c r="I72" s="1360"/>
      <c r="J72" s="1360"/>
      <c r="K72" s="1360"/>
      <c r="L72" s="1568"/>
      <c r="M72" s="1332"/>
      <c r="N72" s="1332"/>
      <c r="O72" s="1667"/>
      <c r="P72" s="1333"/>
      <c r="Q72" s="1361"/>
      <c r="R72" s="1333"/>
      <c r="S72" s="1335"/>
      <c r="T72" s="1336" t="s">
        <v>166</v>
      </c>
      <c r="U72" s="1337"/>
      <c r="V72" s="1337"/>
      <c r="W72" s="1337"/>
      <c r="X72" s="1337"/>
      <c r="Y72" s="1337"/>
      <c r="Z72" s="1337"/>
      <c r="AA72" s="1337"/>
      <c r="AB72" s="1337"/>
      <c r="AC72" s="1337"/>
      <c r="AD72" s="1337"/>
      <c r="AE72" s="1337"/>
      <c r="AF72" s="1337"/>
      <c r="AG72" s="1337"/>
      <c r="AH72" s="1337"/>
      <c r="AI72" s="1337"/>
      <c r="AJ72" s="1337"/>
      <c r="AK72" s="1337"/>
      <c r="AL72" s="1337"/>
      <c r="AM72" s="1337"/>
      <c r="AN72" s="1337"/>
      <c r="AO72" s="1337"/>
      <c r="AP72" s="1337"/>
      <c r="AQ72" s="1337"/>
      <c r="AR72" s="1337"/>
      <c r="AS72" s="1337"/>
      <c r="AT72" s="1337"/>
      <c r="AU72" s="1337"/>
      <c r="AV72" s="1337"/>
      <c r="AW72" s="1337"/>
      <c r="AX72" s="1337"/>
      <c r="AY72" s="1337"/>
      <c r="AZ72" s="1337"/>
      <c r="BA72" s="1337"/>
      <c r="BB72" s="1337"/>
      <c r="BC72" s="1337"/>
      <c r="BD72" s="1337"/>
      <c r="BE72" s="1337"/>
      <c r="BF72" s="1337"/>
      <c r="BG72" s="1337"/>
      <c r="BH72" s="1337"/>
      <c r="BI72" s="1337"/>
      <c r="BJ72" s="1337"/>
      <c r="BK72" s="1337"/>
      <c r="BL72" s="1337"/>
      <c r="BM72" s="1337"/>
      <c r="BN72" s="1337"/>
      <c r="BO72" s="1337"/>
      <c r="BP72" s="1337"/>
      <c r="BQ72" s="1337"/>
      <c r="BR72" s="1337"/>
      <c r="BS72" s="1337"/>
      <c r="BT72" s="1337"/>
      <c r="BU72" s="1337"/>
      <c r="BV72" s="1337"/>
      <c r="BW72" s="1337"/>
      <c r="BX72" s="1337"/>
      <c r="BY72" s="1337"/>
      <c r="BZ72" s="1337"/>
      <c r="CA72" s="1337"/>
      <c r="CB72" s="1337"/>
      <c r="CC72" s="1337"/>
      <c r="CD72" s="1337"/>
      <c r="CE72" s="1337"/>
      <c r="CF72" s="1337"/>
      <c r="CG72" s="1337"/>
      <c r="CH72" s="1337"/>
      <c r="CI72" s="1337"/>
      <c r="CJ72" s="1337"/>
      <c r="CK72" s="1337"/>
      <c r="CL72" s="1337"/>
      <c r="CM72" s="1337"/>
      <c r="CN72" s="1337"/>
      <c r="CO72" s="1337"/>
      <c r="CP72" s="1337"/>
      <c r="CQ72" s="1337"/>
      <c r="CR72" s="1667"/>
      <c r="CS72" s="1649"/>
      <c r="CT72" s="1649" t="str">
        <f>IF(T72="","",T72)</f>
        <v>Добавить источник для дифференциации</v>
      </c>
      <c r="CU72" s="1649"/>
      <c r="CV72" s="1649"/>
    </row>
    <row s="618" customFormat="1" customHeight="1" ht="0.75">
      <c r="A73" s="1360"/>
      <c r="B73" s="1360"/>
      <c r="C73" s="1360"/>
      <c r="D73" s="1360"/>
      <c r="E73" s="2090">
        <v>1</v>
      </c>
      <c r="F73" s="2089"/>
      <c r="G73" s="1360"/>
      <c r="H73" s="1360"/>
      <c r="I73" s="1360"/>
      <c r="J73" s="1360"/>
      <c r="K73" s="1360"/>
      <c r="L73" s="1568"/>
      <c r="M73" s="1338"/>
      <c r="N73" s="1338"/>
      <c r="O73" s="1667"/>
      <c r="P73" s="1333"/>
      <c r="Q73" s="1361"/>
      <c r="R73" s="1333"/>
      <c r="S73" s="1339"/>
      <c r="T73" s="1340" t="s">
        <v>167</v>
      </c>
      <c r="U73" s="1341"/>
      <c r="V73" s="1341"/>
      <c r="W73" s="1341"/>
      <c r="X73" s="1341"/>
      <c r="Y73" s="1341"/>
      <c r="Z73" s="1341"/>
      <c r="AA73" s="1341"/>
      <c r="AB73" s="1341"/>
      <c r="AC73" s="1341"/>
      <c r="AD73" s="1341"/>
      <c r="AE73" s="1341"/>
      <c r="AF73" s="1341"/>
      <c r="AG73" s="1341"/>
      <c r="AH73" s="1341"/>
      <c r="AI73" s="1341"/>
      <c r="AJ73" s="1341"/>
      <c r="AK73" s="1341"/>
      <c r="AL73" s="1341"/>
      <c r="AM73" s="1341"/>
      <c r="AN73" s="1341"/>
      <c r="AO73" s="1341"/>
      <c r="AP73" s="1341"/>
      <c r="AQ73" s="1341"/>
      <c r="AR73" s="1341"/>
      <c r="AS73" s="1341"/>
      <c r="AT73" s="1341"/>
      <c r="AU73" s="1341"/>
      <c r="AV73" s="1341"/>
      <c r="AW73" s="1341"/>
      <c r="AX73" s="1341"/>
      <c r="AY73" s="1341"/>
      <c r="AZ73" s="1341"/>
      <c r="BA73" s="1341"/>
      <c r="BB73" s="1341"/>
      <c r="BC73" s="1341"/>
      <c r="BD73" s="1341"/>
      <c r="BE73" s="1341"/>
      <c r="BF73" s="1341"/>
      <c r="BG73" s="1341"/>
      <c r="BH73" s="1341"/>
      <c r="BI73" s="1341"/>
      <c r="BJ73" s="1341"/>
      <c r="BK73" s="1341"/>
      <c r="BL73" s="1341"/>
      <c r="BM73" s="1341"/>
      <c r="BN73" s="1341"/>
      <c r="BO73" s="1341"/>
      <c r="BP73" s="1341"/>
      <c r="BQ73" s="1341"/>
      <c r="BR73" s="1341"/>
      <c r="BS73" s="1341"/>
      <c r="BT73" s="1341"/>
      <c r="BU73" s="1341"/>
      <c r="BV73" s="1341"/>
      <c r="BW73" s="1341"/>
      <c r="BX73" s="1341"/>
      <c r="BY73" s="1341"/>
      <c r="BZ73" s="1341"/>
      <c r="CA73" s="1341"/>
      <c r="CB73" s="1341"/>
      <c r="CC73" s="1341"/>
      <c r="CD73" s="1341"/>
      <c r="CE73" s="1341"/>
      <c r="CF73" s="1341"/>
      <c r="CG73" s="1341"/>
      <c r="CH73" s="1341"/>
      <c r="CI73" s="1341"/>
      <c r="CJ73" s="1341"/>
      <c r="CK73" s="1341"/>
      <c r="CL73" s="1341"/>
      <c r="CM73" s="1341"/>
      <c r="CN73" s="1341"/>
      <c r="CO73" s="1341"/>
      <c r="CP73" s="1341"/>
      <c r="CQ73" s="1341"/>
      <c r="CR73" s="1667"/>
      <c r="CS73" s="1649"/>
      <c r="CT73" s="1649" t="str">
        <f>IF(T73="","",T73)</f>
        <v>Добавить централизованную систему для дифференциации</v>
      </c>
      <c r="CU73" s="1649"/>
      <c r="CV73" s="1649"/>
    </row>
    <row s="618" customFormat="1" customHeight="1" ht="0.75">
      <c r="A74" s="1360"/>
      <c r="B74" s="1360"/>
      <c r="C74" s="1360"/>
      <c r="D74" s="1360"/>
      <c r="E74" s="2089">
        <v>1</v>
      </c>
      <c r="F74" s="1360"/>
      <c r="G74" s="1360"/>
      <c r="H74" s="1360"/>
      <c r="I74" s="1360"/>
      <c r="J74" s="1360"/>
      <c r="K74" s="1360"/>
      <c r="L74" s="1568"/>
      <c r="M74" s="1338"/>
      <c r="N74" s="1338"/>
      <c r="O74" s="1667"/>
      <c r="P74" s="1333"/>
      <c r="Q74" s="1361"/>
      <c r="R74" s="1333"/>
      <c r="S74" s="1339"/>
      <c r="T74" s="1342" t="s">
        <v>168</v>
      </c>
      <c r="U74" s="1341"/>
      <c r="V74" s="1341"/>
      <c r="W74" s="1341"/>
      <c r="X74" s="1341"/>
      <c r="Y74" s="1341"/>
      <c r="Z74" s="1341"/>
      <c r="AA74" s="1341"/>
      <c r="AB74" s="1341"/>
      <c r="AC74" s="1341"/>
      <c r="AD74" s="1341"/>
      <c r="AE74" s="1341"/>
      <c r="AF74" s="1341"/>
      <c r="AG74" s="1341"/>
      <c r="AH74" s="1341"/>
      <c r="AI74" s="1341"/>
      <c r="AJ74" s="1341"/>
      <c r="AK74" s="1341"/>
      <c r="AL74" s="1341"/>
      <c r="AM74" s="1341"/>
      <c r="AN74" s="1341"/>
      <c r="AO74" s="1341"/>
      <c r="AP74" s="1341"/>
      <c r="AQ74" s="1341"/>
      <c r="AR74" s="1341"/>
      <c r="AS74" s="1341"/>
      <c r="AT74" s="1341"/>
      <c r="AU74" s="1341"/>
      <c r="AV74" s="1341"/>
      <c r="AW74" s="1341"/>
      <c r="AX74" s="1341"/>
      <c r="AY74" s="1341"/>
      <c r="AZ74" s="1341"/>
      <c r="BA74" s="1341"/>
      <c r="BB74" s="1341"/>
      <c r="BC74" s="1341"/>
      <c r="BD74" s="1341"/>
      <c r="BE74" s="1341"/>
      <c r="BF74" s="1341"/>
      <c r="BG74" s="1341"/>
      <c r="BH74" s="1341"/>
      <c r="BI74" s="1341"/>
      <c r="BJ74" s="1341"/>
      <c r="BK74" s="1341"/>
      <c r="BL74" s="1341"/>
      <c r="BM74" s="1341"/>
      <c r="BN74" s="1341"/>
      <c r="BO74" s="1341"/>
      <c r="BP74" s="1341"/>
      <c r="BQ74" s="1341"/>
      <c r="BR74" s="1341"/>
      <c r="BS74" s="1341"/>
      <c r="BT74" s="1341"/>
      <c r="BU74" s="1341"/>
      <c r="BV74" s="1341"/>
      <c r="BW74" s="1341"/>
      <c r="BX74" s="1341"/>
      <c r="BY74" s="1341"/>
      <c r="BZ74" s="1341"/>
      <c r="CA74" s="1341"/>
      <c r="CB74" s="1341"/>
      <c r="CC74" s="1341"/>
      <c r="CD74" s="1341"/>
      <c r="CE74" s="1341"/>
      <c r="CF74" s="1341"/>
      <c r="CG74" s="1341"/>
      <c r="CH74" s="1341"/>
      <c r="CI74" s="1341"/>
      <c r="CJ74" s="1341"/>
      <c r="CK74" s="1341"/>
      <c r="CL74" s="1341"/>
      <c r="CM74" s="1341"/>
      <c r="CN74" s="1341"/>
      <c r="CO74" s="1341"/>
      <c r="CP74" s="1341"/>
      <c r="CQ74" s="1341"/>
      <c r="CR74" s="1667"/>
      <c r="CS74" s="1649"/>
      <c r="CT74" s="1649" t="str">
        <f>IF(T74="","",T74)</f>
        <v>Добавить территорию для дифференциации</v>
      </c>
      <c r="CU74" s="1649"/>
      <c r="CV74" s="1649"/>
    </row>
    <row s="2437" customFormat="1" customHeight="1" ht="21">
      <c r="A75" s="1380" t="s">
        <v>176</v>
      </c>
      <c r="B75" s="1380"/>
      <c r="C75" s="1380"/>
      <c r="D75" s="1380"/>
      <c r="E75" s="2089" t="s">
        <v>89</v>
      </c>
      <c r="F75" s="1380"/>
      <c r="G75" s="1380"/>
      <c r="H75" s="1380"/>
      <c r="I75" s="1380"/>
      <c r="J75" s="1380"/>
      <c r="K75" s="1380"/>
      <c r="L75" s="1386"/>
      <c r="M75" s="1382"/>
      <c r="N75" s="1382"/>
      <c r="O75" s="1382"/>
      <c r="P75" s="2216"/>
      <c r="Q75" s="1848"/>
      <c r="R75" s="343"/>
      <c r="S75" s="2107" t="str">
        <f>INDEX(PT_DIFFERENTIATION_NUM_NTAR,MATCH(A75,PT_DIFFERENTIATION_NTAR_ID,0))</f>
        <v>3</v>
      </c>
      <c r="T75" s="1542" t="s">
        <v>122</v>
      </c>
      <c r="U75" s="280"/>
      <c r="V75" s="2083"/>
      <c r="W75" s="2084"/>
      <c r="X75" s="2084"/>
      <c r="Y75" s="2084"/>
      <c r="Z75" s="2084"/>
      <c r="AA75" s="2084"/>
      <c r="AB75" s="2084"/>
      <c r="AC75" s="2085"/>
      <c r="AD75" s="2083" t="str">
        <f>INDEX(PT_DIFFERENTIATION_NTAR,MATCH(A75,PT_DIFFERENTIATION_NTAR_ID,0))</f>
        <v>Льготный тариф на тепловую энергию</v>
      </c>
      <c r="AE75" s="2084"/>
      <c r="AF75" s="2084"/>
      <c r="AG75" s="2084"/>
      <c r="AH75" s="2084"/>
      <c r="AI75" s="2084"/>
      <c r="AJ75" s="2084"/>
      <c r="AK75" s="2084"/>
      <c r="AL75" s="2083"/>
      <c r="AM75" s="2084"/>
      <c r="AN75" s="2084"/>
      <c r="AO75" s="2084"/>
      <c r="AP75" s="2084"/>
      <c r="AQ75" s="2084"/>
      <c r="AR75" s="2084"/>
      <c r="AS75" s="2085"/>
      <c r="AT75" s="2083"/>
      <c r="AU75" s="2084"/>
      <c r="AV75" s="2084"/>
      <c r="AW75" s="2084"/>
      <c r="AX75" s="2084"/>
      <c r="AY75" s="2084"/>
      <c r="AZ75" s="2084"/>
      <c r="BA75" s="2085"/>
      <c r="BB75" s="2083"/>
      <c r="BC75" s="2084"/>
      <c r="BD75" s="2084"/>
      <c r="BE75" s="2084"/>
      <c r="BF75" s="2084"/>
      <c r="BG75" s="2084"/>
      <c r="BH75" s="2084"/>
      <c r="BI75" s="2085"/>
      <c r="BJ75" s="2083"/>
      <c r="BK75" s="2084"/>
      <c r="BL75" s="2084"/>
      <c r="BM75" s="2084"/>
      <c r="BN75" s="2084"/>
      <c r="BO75" s="2084"/>
      <c r="BP75" s="2084"/>
      <c r="BQ75" s="2085"/>
      <c r="BR75" s="2083"/>
      <c r="BS75" s="2084"/>
      <c r="BT75" s="2084"/>
      <c r="BU75" s="2084"/>
      <c r="BV75" s="2084"/>
      <c r="BW75" s="2084"/>
      <c r="BX75" s="2084"/>
      <c r="BY75" s="2085"/>
      <c r="BZ75" s="2083"/>
      <c r="CA75" s="2084"/>
      <c r="CB75" s="2084"/>
      <c r="CC75" s="2084"/>
      <c r="CD75" s="2084"/>
      <c r="CE75" s="2084"/>
      <c r="CF75" s="2084"/>
      <c r="CG75" s="2085"/>
      <c r="CH75" s="2083"/>
      <c r="CI75" s="2084"/>
      <c r="CJ75" s="2084"/>
      <c r="CK75" s="2084"/>
      <c r="CL75" s="2084"/>
      <c r="CM75" s="2084"/>
      <c r="CN75" s="2084"/>
      <c r="CO75" s="2085"/>
      <c r="CP75" s="2085"/>
      <c r="CQ75" s="1273" t="s">
        <v>403</v>
      </c>
      <c r="CR75" s="1667"/>
      <c r="CS75" s="1649"/>
      <c r="CT75" s="1649" t="str">
        <f>IF(T75="","",T75)</f>
        <v>Наименование тарифа</v>
      </c>
      <c r="CU75" s="1649"/>
      <c r="CV75" s="1649"/>
    </row>
    <row s="2437" customFormat="1" customHeight="1" ht="21">
      <c r="A76" s="1380"/>
      <c r="B76" s="1380" t="s">
        <v>177</v>
      </c>
      <c r="C76" s="1380"/>
      <c r="D76" s="1380"/>
      <c r="E76" s="2090" t="s">
        <v>109</v>
      </c>
      <c r="F76" s="2089">
        <v>1</v>
      </c>
      <c r="G76" s="1380"/>
      <c r="H76" s="1380"/>
      <c r="I76" s="1380"/>
      <c r="J76" s="1380"/>
      <c r="K76" s="1380"/>
      <c r="L76" s="1386"/>
      <c r="M76" s="1382"/>
      <c r="N76" s="1382"/>
      <c r="O76" s="1382"/>
      <c r="P76" s="1951"/>
      <c r="Q76" s="340"/>
      <c r="R76" s="341"/>
      <c r="S76" s="2107" t="str">
        <f>INDEX(PT_DIFFERENTIATION_NUM_TER,MATCH(B76,PT_DIFFERENTIATION_TER_ID,0))</f>
        <v>3.1</v>
      </c>
      <c r="T76" s="1539" t="s">
        <v>404</v>
      </c>
      <c r="U76" s="280"/>
      <c r="V76" s="2083"/>
      <c r="W76" s="2084"/>
      <c r="X76" s="2084"/>
      <c r="Y76" s="2084"/>
      <c r="Z76" s="2084"/>
      <c r="AA76" s="2084"/>
      <c r="AB76" s="2084"/>
      <c r="AC76" s="2085"/>
      <c r="AD76" s="2083" t="str">
        <f>INDEX(PT_DIFFERENTIATION_TER,MATCH(B76,PT_DIFFERENTIATION_TER_ID,0))</f>
        <v>Территория 1</v>
      </c>
      <c r="AE76" s="2084"/>
      <c r="AF76" s="2084"/>
      <c r="AG76" s="2084"/>
      <c r="AH76" s="2084"/>
      <c r="AI76" s="2084"/>
      <c r="AJ76" s="2084"/>
      <c r="AK76" s="2084"/>
      <c r="AL76" s="2083"/>
      <c r="AM76" s="2084"/>
      <c r="AN76" s="2084"/>
      <c r="AO76" s="2084"/>
      <c r="AP76" s="2084"/>
      <c r="AQ76" s="2084"/>
      <c r="AR76" s="2084"/>
      <c r="AS76" s="2085"/>
      <c r="AT76" s="2083"/>
      <c r="AU76" s="2084"/>
      <c r="AV76" s="2084"/>
      <c r="AW76" s="2084"/>
      <c r="AX76" s="2084"/>
      <c r="AY76" s="2084"/>
      <c r="AZ76" s="2084"/>
      <c r="BA76" s="2085"/>
      <c r="BB76" s="2083"/>
      <c r="BC76" s="2084"/>
      <c r="BD76" s="2084"/>
      <c r="BE76" s="2084"/>
      <c r="BF76" s="2084"/>
      <c r="BG76" s="2084"/>
      <c r="BH76" s="2084"/>
      <c r="BI76" s="2085"/>
      <c r="BJ76" s="2083"/>
      <c r="BK76" s="2084"/>
      <c r="BL76" s="2084"/>
      <c r="BM76" s="2084"/>
      <c r="BN76" s="2084"/>
      <c r="BO76" s="2084"/>
      <c r="BP76" s="2084"/>
      <c r="BQ76" s="2085"/>
      <c r="BR76" s="2083"/>
      <c r="BS76" s="2084"/>
      <c r="BT76" s="2084"/>
      <c r="BU76" s="2084"/>
      <c r="BV76" s="2084"/>
      <c r="BW76" s="2084"/>
      <c r="BX76" s="2084"/>
      <c r="BY76" s="2085"/>
      <c r="BZ76" s="2083"/>
      <c r="CA76" s="2084"/>
      <c r="CB76" s="2084"/>
      <c r="CC76" s="2084"/>
      <c r="CD76" s="2084"/>
      <c r="CE76" s="2084"/>
      <c r="CF76" s="2084"/>
      <c r="CG76" s="2085"/>
      <c r="CH76" s="2083"/>
      <c r="CI76" s="2084"/>
      <c r="CJ76" s="2084"/>
      <c r="CK76" s="2084"/>
      <c r="CL76" s="2084"/>
      <c r="CM76" s="2084"/>
      <c r="CN76" s="2084"/>
      <c r="CO76" s="2085"/>
      <c r="CP76" s="2085"/>
      <c r="CQ76" s="1273" t="s">
        <v>405</v>
      </c>
      <c r="CR76" s="1667"/>
      <c r="CS76" s="1649"/>
      <c r="CT76" s="1649" t="str">
        <f>IF(T76="","",T76)</f>
        <v>Территория действия тарифа</v>
      </c>
      <c r="CU76" s="1649"/>
      <c r="CV76" s="1649"/>
    </row>
    <row s="2437" customFormat="1" customHeight="1" ht="23.25">
      <c r="A77" s="1380"/>
      <c r="B77" s="1380"/>
      <c r="C77" s="1380" t="s">
        <v>178</v>
      </c>
      <c r="D77" s="1380"/>
      <c r="E77" s="2090" t="s">
        <v>109</v>
      </c>
      <c r="F77" s="2090"/>
      <c r="G77" s="2089">
        <v>1</v>
      </c>
      <c r="H77" s="1380"/>
      <c r="I77" s="1380"/>
      <c r="J77" s="1380"/>
      <c r="K77" s="1380"/>
      <c r="L77" s="1386"/>
      <c r="M77" s="1382"/>
      <c r="N77" s="1382"/>
      <c r="O77" s="1382"/>
      <c r="P77" s="342"/>
      <c r="Q77" s="340"/>
      <c r="R77" s="341"/>
      <c r="S77" s="2107" t="str">
        <f>INDEX(PT_DIFFERENTIATION_NUM_CS,MATCH(C77,PT_DIFFERENTIATION_CS_ID,0))</f>
        <v>3.1.1</v>
      </c>
      <c r="T77" s="291" t="s">
        <v>406</v>
      </c>
      <c r="U77" s="280"/>
      <c r="V77" s="2083"/>
      <c r="W77" s="2084"/>
      <c r="X77" s="2084"/>
      <c r="Y77" s="2084"/>
      <c r="Z77" s="2084"/>
      <c r="AA77" s="2084"/>
      <c r="AB77" s="2084"/>
      <c r="AC77" s="2085"/>
      <c r="AD77" s="2083" t="str">
        <f>INDEX(PT_DIFFERENTIATION_CS,MATCH(C77,PT_DIFFERENTIATION_CS_ID,0))</f>
        <v>без дифференциации</v>
      </c>
      <c r="AE77" s="2084"/>
      <c r="AF77" s="2084"/>
      <c r="AG77" s="2084"/>
      <c r="AH77" s="2084"/>
      <c r="AI77" s="2084"/>
      <c r="AJ77" s="2084"/>
      <c r="AK77" s="2084"/>
      <c r="AL77" s="2083"/>
      <c r="AM77" s="2084"/>
      <c r="AN77" s="2084"/>
      <c r="AO77" s="2084"/>
      <c r="AP77" s="2084"/>
      <c r="AQ77" s="2084"/>
      <c r="AR77" s="2084"/>
      <c r="AS77" s="2085"/>
      <c r="AT77" s="2083"/>
      <c r="AU77" s="2084"/>
      <c r="AV77" s="2084"/>
      <c r="AW77" s="2084"/>
      <c r="AX77" s="2084"/>
      <c r="AY77" s="2084"/>
      <c r="AZ77" s="2084"/>
      <c r="BA77" s="2085"/>
      <c r="BB77" s="2083"/>
      <c r="BC77" s="2084"/>
      <c r="BD77" s="2084"/>
      <c r="BE77" s="2084"/>
      <c r="BF77" s="2084"/>
      <c r="BG77" s="2084"/>
      <c r="BH77" s="2084"/>
      <c r="BI77" s="2085"/>
      <c r="BJ77" s="2083"/>
      <c r="BK77" s="2084"/>
      <c r="BL77" s="2084"/>
      <c r="BM77" s="2084"/>
      <c r="BN77" s="2084"/>
      <c r="BO77" s="2084"/>
      <c r="BP77" s="2084"/>
      <c r="BQ77" s="2085"/>
      <c r="BR77" s="2083"/>
      <c r="BS77" s="2084"/>
      <c r="BT77" s="2084"/>
      <c r="BU77" s="2084"/>
      <c r="BV77" s="2084"/>
      <c r="BW77" s="2084"/>
      <c r="BX77" s="2084"/>
      <c r="BY77" s="2085"/>
      <c r="BZ77" s="2083"/>
      <c r="CA77" s="2084"/>
      <c r="CB77" s="2084"/>
      <c r="CC77" s="2084"/>
      <c r="CD77" s="2084"/>
      <c r="CE77" s="2084"/>
      <c r="CF77" s="2084"/>
      <c r="CG77" s="2085"/>
      <c r="CH77" s="2083"/>
      <c r="CI77" s="2084"/>
      <c r="CJ77" s="2084"/>
      <c r="CK77" s="2084"/>
      <c r="CL77" s="2084"/>
      <c r="CM77" s="2084"/>
      <c r="CN77" s="2084"/>
      <c r="CO77" s="2085"/>
      <c r="CP77" s="2085"/>
      <c r="CQ77" s="1273" t="s">
        <v>407</v>
      </c>
      <c r="CR77" s="1667"/>
      <c r="CS77" s="1649"/>
      <c r="CT77" s="1649" t="str">
        <f>IF(T77="","",T77)</f>
        <v>Наименование системы теплоснабжения </v>
      </c>
      <c r="CU77" s="1649"/>
      <c r="CV77" s="1649"/>
    </row>
    <row s="2437" customFormat="1" customHeight="1" ht="21">
      <c r="A78" s="1380"/>
      <c r="B78" s="1380"/>
      <c r="C78" s="1380"/>
      <c r="D78" s="1380" t="s">
        <v>179</v>
      </c>
      <c r="E78" s="2090" t="s">
        <v>109</v>
      </c>
      <c r="F78" s="2090"/>
      <c r="G78" s="2090"/>
      <c r="H78" s="2089">
        <v>1</v>
      </c>
      <c r="I78" s="1380"/>
      <c r="J78" s="1380"/>
      <c r="K78" s="1380"/>
      <c r="L78" s="1386"/>
      <c r="M78" s="1382"/>
      <c r="N78" s="1382"/>
      <c r="O78" s="1382"/>
      <c r="P78" s="342"/>
      <c r="Q78" s="340"/>
      <c r="R78" s="341"/>
      <c r="S78" s="2107" t="str">
        <f>INDEX(PT_DIFFERENTIATION_NUM_IST_TE,MATCH(D78,PT_DIFFERENTIATION_IST_TE_ID,0))</f>
        <v>3.1.1.1</v>
      </c>
      <c r="T78" s="292" t="s">
        <v>408</v>
      </c>
      <c r="U78" s="280"/>
      <c r="V78" s="2083"/>
      <c r="W78" s="2084"/>
      <c r="X78" s="2084"/>
      <c r="Y78" s="2084"/>
      <c r="Z78" s="2084"/>
      <c r="AA78" s="2084"/>
      <c r="AB78" s="2084"/>
      <c r="AC78" s="2085"/>
      <c r="AD78" s="2083" t="str">
        <f>INDEX(PT_DIFFERENTIATION_IST_TE,MATCH(D78,PT_DIFFERENTIATION_IST_TE_ID,0))</f>
        <v>без дифференциации</v>
      </c>
      <c r="AE78" s="2084"/>
      <c r="AF78" s="2084"/>
      <c r="AG78" s="2084"/>
      <c r="AH78" s="2084"/>
      <c r="AI78" s="2084"/>
      <c r="AJ78" s="2084"/>
      <c r="AK78" s="2084"/>
      <c r="AL78" s="2083"/>
      <c r="AM78" s="2084"/>
      <c r="AN78" s="2084"/>
      <c r="AO78" s="2084"/>
      <c r="AP78" s="2084"/>
      <c r="AQ78" s="2084"/>
      <c r="AR78" s="2084"/>
      <c r="AS78" s="2085"/>
      <c r="AT78" s="2083"/>
      <c r="AU78" s="2084"/>
      <c r="AV78" s="2084"/>
      <c r="AW78" s="2084"/>
      <c r="AX78" s="2084"/>
      <c r="AY78" s="2084"/>
      <c r="AZ78" s="2084"/>
      <c r="BA78" s="2085"/>
      <c r="BB78" s="2083"/>
      <c r="BC78" s="2084"/>
      <c r="BD78" s="2084"/>
      <c r="BE78" s="2084"/>
      <c r="BF78" s="2084"/>
      <c r="BG78" s="2084"/>
      <c r="BH78" s="2084"/>
      <c r="BI78" s="2085"/>
      <c r="BJ78" s="2083"/>
      <c r="BK78" s="2084"/>
      <c r="BL78" s="2084"/>
      <c r="BM78" s="2084"/>
      <c r="BN78" s="2084"/>
      <c r="BO78" s="2084"/>
      <c r="BP78" s="2084"/>
      <c r="BQ78" s="2085"/>
      <c r="BR78" s="2083"/>
      <c r="BS78" s="2084"/>
      <c r="BT78" s="2084"/>
      <c r="BU78" s="2084"/>
      <c r="BV78" s="2084"/>
      <c r="BW78" s="2084"/>
      <c r="BX78" s="2084"/>
      <c r="BY78" s="2085"/>
      <c r="BZ78" s="2083"/>
      <c r="CA78" s="2084"/>
      <c r="CB78" s="2084"/>
      <c r="CC78" s="2084"/>
      <c r="CD78" s="2084"/>
      <c r="CE78" s="2084"/>
      <c r="CF78" s="2084"/>
      <c r="CG78" s="2085"/>
      <c r="CH78" s="2083"/>
      <c r="CI78" s="2084"/>
      <c r="CJ78" s="2084"/>
      <c r="CK78" s="2084"/>
      <c r="CL78" s="2084"/>
      <c r="CM78" s="2084"/>
      <c r="CN78" s="2084"/>
      <c r="CO78" s="2085"/>
      <c r="CP78" s="2085"/>
      <c r="CQ78" s="1273" t="s">
        <v>409</v>
      </c>
      <c r="CR78" s="1667"/>
      <c r="CS78" s="1649"/>
      <c r="CT78" s="1649" t="str">
        <f>IF(T78="","",T78)</f>
        <v>Источник тепловой энергии  </v>
      </c>
      <c r="CU78" s="1649"/>
      <c r="CV78" s="1649"/>
    </row>
    <row s="2437" customFormat="1" customHeight="1" ht="47.25">
      <c r="A79" s="1380"/>
      <c r="B79" s="1380"/>
      <c r="C79" s="1380"/>
      <c r="D79" s="1380"/>
      <c r="E79" s="2090" t="s">
        <v>109</v>
      </c>
      <c r="F79" s="2090"/>
      <c r="G79" s="2090"/>
      <c r="H79" s="2090"/>
      <c r="I79" s="2091" t="str">
        <f>S78&amp;".1"</f>
        <v>3.1.1.1.1</v>
      </c>
      <c r="J79" s="1380"/>
      <c r="K79" s="1380"/>
      <c r="L79" s="1386" t="s">
        <v>410</v>
      </c>
      <c r="M79" s="1383"/>
      <c r="N79" s="1801"/>
      <c r="O79" s="1801"/>
      <c r="P79" s="2205">
        <v>1</v>
      </c>
      <c r="Q79" s="2205"/>
      <c r="R79" s="344"/>
      <c r="S79" s="2107" t="str">
        <f>$I79</f>
        <v>3.1.1.1.1</v>
      </c>
      <c r="T79" s="266" t="s">
        <v>411</v>
      </c>
      <c r="U79" s="280"/>
      <c r="V79" s="2077"/>
      <c r="W79" s="2078"/>
      <c r="X79" s="2078"/>
      <c r="Y79" s="2078"/>
      <c r="Z79" s="2078"/>
      <c r="AA79" s="2078"/>
      <c r="AB79" s="2078"/>
      <c r="AC79" s="2079"/>
      <c r="AD79" s="2077" t="s">
        <v>453</v>
      </c>
      <c r="AE79" s="2078"/>
      <c r="AF79" s="2078"/>
      <c r="AG79" s="2078"/>
      <c r="AH79" s="2078"/>
      <c r="AI79" s="2078"/>
      <c r="AJ79" s="2078"/>
      <c r="AK79" s="2078"/>
      <c r="AL79" s="2077"/>
      <c r="AM79" s="2078"/>
      <c r="AN79" s="2078"/>
      <c r="AO79" s="2078"/>
      <c r="AP79" s="2078"/>
      <c r="AQ79" s="2078"/>
      <c r="AR79" s="2078"/>
      <c r="AS79" s="2079"/>
      <c r="AT79" s="2077"/>
      <c r="AU79" s="2078"/>
      <c r="AV79" s="2078"/>
      <c r="AW79" s="2078"/>
      <c r="AX79" s="2078"/>
      <c r="AY79" s="2078"/>
      <c r="AZ79" s="2078"/>
      <c r="BA79" s="2079"/>
      <c r="BB79" s="2077"/>
      <c r="BC79" s="2078"/>
      <c r="BD79" s="2078"/>
      <c r="BE79" s="2078"/>
      <c r="BF79" s="2078"/>
      <c r="BG79" s="2078"/>
      <c r="BH79" s="2078"/>
      <c r="BI79" s="2079"/>
      <c r="BJ79" s="2077"/>
      <c r="BK79" s="2078"/>
      <c r="BL79" s="2078"/>
      <c r="BM79" s="2078"/>
      <c r="BN79" s="2078"/>
      <c r="BO79" s="2078"/>
      <c r="BP79" s="2078"/>
      <c r="BQ79" s="2079"/>
      <c r="BR79" s="2077"/>
      <c r="BS79" s="2078"/>
      <c r="BT79" s="2078"/>
      <c r="BU79" s="2078"/>
      <c r="BV79" s="2078"/>
      <c r="BW79" s="2078"/>
      <c r="BX79" s="2078"/>
      <c r="BY79" s="2079"/>
      <c r="BZ79" s="2077"/>
      <c r="CA79" s="2078"/>
      <c r="CB79" s="2078"/>
      <c r="CC79" s="2078"/>
      <c r="CD79" s="2078"/>
      <c r="CE79" s="2078"/>
      <c r="CF79" s="2078"/>
      <c r="CG79" s="2079"/>
      <c r="CH79" s="2077"/>
      <c r="CI79" s="2078"/>
      <c r="CJ79" s="2078"/>
      <c r="CK79" s="2078"/>
      <c r="CL79" s="2078"/>
      <c r="CM79" s="2078"/>
      <c r="CN79" s="2078"/>
      <c r="CO79" s="2079"/>
      <c r="CP79" s="2079"/>
      <c r="CQ79" s="1273" t="s">
        <v>412</v>
      </c>
      <c r="CR79" s="1667"/>
      <c r="CS79" s="1649"/>
      <c r="CT79" s="1649" t="str">
        <f>IF(T79="","",T79)</f>
        <v>Схема подключения теплопотребляющей установки к коллектору источника тепловой энергии</v>
      </c>
      <c r="CU79" s="1649"/>
      <c r="CV79" s="1649"/>
    </row>
    <row s="2437" customFormat="1" customHeight="1" ht="21">
      <c r="A80" s="1380"/>
      <c r="B80" s="1380"/>
      <c r="C80" s="1380"/>
      <c r="D80" s="1380"/>
      <c r="E80" s="2090" t="s">
        <v>109</v>
      </c>
      <c r="F80" s="2090"/>
      <c r="G80" s="2090"/>
      <c r="H80" s="2090"/>
      <c r="I80" s="2092"/>
      <c r="J80" s="2091" t="str">
        <f>I79&amp;".1"</f>
        <v>3.1.1.1.1.1</v>
      </c>
      <c r="K80" s="1380"/>
      <c r="L80" s="1386" t="s">
        <v>413</v>
      </c>
      <c r="M80" s="1383"/>
      <c r="N80" s="1383"/>
      <c r="O80" s="1801"/>
      <c r="P80" s="2205"/>
      <c r="Q80" s="2205">
        <v>1</v>
      </c>
      <c r="R80" s="345"/>
      <c r="S80" s="2107" t="str">
        <f>$J80</f>
        <v>3.1.1.1.1.1</v>
      </c>
      <c r="T80" s="267" t="s">
        <v>414</v>
      </c>
      <c r="U80" s="280"/>
      <c r="V80" s="2077"/>
      <c r="W80" s="2078"/>
      <c r="X80" s="2078"/>
      <c r="Y80" s="2078"/>
      <c r="Z80" s="2078"/>
      <c r="AA80" s="2078"/>
      <c r="AB80" s="2078"/>
      <c r="AC80" s="2079"/>
      <c r="AD80" s="2077" t="s">
        <v>456</v>
      </c>
      <c r="AE80" s="2078"/>
      <c r="AF80" s="2078"/>
      <c r="AG80" s="2078"/>
      <c r="AH80" s="2078"/>
      <c r="AI80" s="2078"/>
      <c r="AJ80" s="2078"/>
      <c r="AK80" s="2078"/>
      <c r="AL80" s="2077"/>
      <c r="AM80" s="2078"/>
      <c r="AN80" s="2078"/>
      <c r="AO80" s="2078"/>
      <c r="AP80" s="2078"/>
      <c r="AQ80" s="2078"/>
      <c r="AR80" s="2078"/>
      <c r="AS80" s="2079"/>
      <c r="AT80" s="2077"/>
      <c r="AU80" s="2078"/>
      <c r="AV80" s="2078"/>
      <c r="AW80" s="2078"/>
      <c r="AX80" s="2078"/>
      <c r="AY80" s="2078"/>
      <c r="AZ80" s="2078"/>
      <c r="BA80" s="2079"/>
      <c r="BB80" s="2077"/>
      <c r="BC80" s="2078"/>
      <c r="BD80" s="2078"/>
      <c r="BE80" s="2078"/>
      <c r="BF80" s="2078"/>
      <c r="BG80" s="2078"/>
      <c r="BH80" s="2078"/>
      <c r="BI80" s="2079"/>
      <c r="BJ80" s="2077"/>
      <c r="BK80" s="2078"/>
      <c r="BL80" s="2078"/>
      <c r="BM80" s="2078"/>
      <c r="BN80" s="2078"/>
      <c r="BO80" s="2078"/>
      <c r="BP80" s="2078"/>
      <c r="BQ80" s="2079"/>
      <c r="BR80" s="2077"/>
      <c r="BS80" s="2078"/>
      <c r="BT80" s="2078"/>
      <c r="BU80" s="2078"/>
      <c r="BV80" s="2078"/>
      <c r="BW80" s="2078"/>
      <c r="BX80" s="2078"/>
      <c r="BY80" s="2079"/>
      <c r="BZ80" s="2077"/>
      <c r="CA80" s="2078"/>
      <c r="CB80" s="2078"/>
      <c r="CC80" s="2078"/>
      <c r="CD80" s="2078"/>
      <c r="CE80" s="2078"/>
      <c r="CF80" s="2078"/>
      <c r="CG80" s="2079"/>
      <c r="CH80" s="2077"/>
      <c r="CI80" s="2078"/>
      <c r="CJ80" s="2078"/>
      <c r="CK80" s="2078"/>
      <c r="CL80" s="2078"/>
      <c r="CM80" s="2078"/>
      <c r="CN80" s="2078"/>
      <c r="CO80" s="2079"/>
      <c r="CP80" s="2079"/>
      <c r="CQ80" s="1273" t="s">
        <v>415</v>
      </c>
      <c r="CR80" s="1667"/>
      <c r="CS80" s="1649"/>
      <c r="CT80" s="1649" t="str">
        <f>IF(T80="","",T80)</f>
        <v>Группа потребителей</v>
      </c>
      <c r="CU80" s="1649"/>
      <c r="CV80" s="1649"/>
    </row>
    <row s="2437" customFormat="1" customHeight="1" ht="21">
      <c r="A81" s="1380"/>
      <c r="B81" s="1380"/>
      <c r="C81" s="1380"/>
      <c r="D81" s="1380"/>
      <c r="E81" s="2090" t="s">
        <v>109</v>
      </c>
      <c r="F81" s="2090"/>
      <c r="G81" s="2090"/>
      <c r="H81" s="2090"/>
      <c r="I81" s="2092"/>
      <c r="J81" s="2092"/>
      <c r="K81" s="2091" t="str">
        <f>J80&amp;".1"</f>
        <v>3.1.1.1.1.1.1</v>
      </c>
      <c r="L81" s="1386" t="s">
        <v>416</v>
      </c>
      <c r="M81" s="1383"/>
      <c r="N81" s="1383"/>
      <c r="O81" s="1383"/>
      <c r="P81" s="2205"/>
      <c r="Q81" s="2205"/>
      <c r="R81" s="345">
        <v>1</v>
      </c>
      <c r="S81" s="2107" t="str">
        <f>$K81</f>
        <v>3.1.1.1.1.1.1</v>
      </c>
      <c r="T81" s="1364" t="s">
        <v>455</v>
      </c>
      <c r="U81" s="280"/>
      <c r="V81" s="1377"/>
      <c r="W81" s="1377"/>
      <c r="X81" s="1377"/>
      <c r="Y81" s="1378"/>
      <c r="Z81" s="2087"/>
      <c r="AA81" s="2086" t="s">
        <v>66</v>
      </c>
      <c r="AB81" s="2087"/>
      <c r="AC81" s="2086" t="s">
        <v>66</v>
      </c>
      <c r="AD81" s="746">
        <v>2111.4</v>
      </c>
      <c r="AE81" s="312"/>
      <c r="AF81" s="746"/>
      <c r="AG81" s="1272"/>
      <c r="AH81" s="2425">
        <v>45292.593993055554</v>
      </c>
      <c r="AI81" s="1963" t="s">
        <v>66</v>
      </c>
      <c r="AJ81" s="2425">
        <v>45473.594039351854</v>
      </c>
      <c r="AK81" s="1963" t="s">
        <v>66</v>
      </c>
      <c r="AL81" s="746">
        <v>2318.32</v>
      </c>
      <c r="AM81" s="312"/>
      <c r="AN81" s="746"/>
      <c r="AO81" s="1272"/>
      <c r="AP81" s="2425">
        <v>45474.59409722222</v>
      </c>
      <c r="AQ81" s="1963" t="s">
        <v>66</v>
      </c>
      <c r="AR81" s="2425">
        <v>45657.59415509259</v>
      </c>
      <c r="AS81" s="1963" t="s">
        <v>56</v>
      </c>
      <c r="AT81" s="1377"/>
      <c r="AU81" s="1377"/>
      <c r="AV81" s="1377"/>
      <c r="AW81" s="1378"/>
      <c r="AX81" s="2087"/>
      <c r="AY81" s="2086" t="s">
        <v>66</v>
      </c>
      <c r="AZ81" s="2087"/>
      <c r="BA81" s="2086" t="s">
        <v>66</v>
      </c>
      <c r="BB81" s="1377"/>
      <c r="BC81" s="1377"/>
      <c r="BD81" s="1377"/>
      <c r="BE81" s="1378"/>
      <c r="BF81" s="2087"/>
      <c r="BG81" s="2086" t="s">
        <v>66</v>
      </c>
      <c r="BH81" s="2087"/>
      <c r="BI81" s="2086" t="s">
        <v>66</v>
      </c>
      <c r="BJ81" s="1377"/>
      <c r="BK81" s="1377"/>
      <c r="BL81" s="1377"/>
      <c r="BM81" s="1378"/>
      <c r="BN81" s="2087"/>
      <c r="BO81" s="2086" t="s">
        <v>66</v>
      </c>
      <c r="BP81" s="2087"/>
      <c r="BQ81" s="2086" t="s">
        <v>66</v>
      </c>
      <c r="BR81" s="1377"/>
      <c r="BS81" s="1377"/>
      <c r="BT81" s="1377"/>
      <c r="BU81" s="1378"/>
      <c r="BV81" s="2087"/>
      <c r="BW81" s="2086" t="s">
        <v>66</v>
      </c>
      <c r="BX81" s="2087"/>
      <c r="BY81" s="2086" t="s">
        <v>66</v>
      </c>
      <c r="BZ81" s="1377"/>
      <c r="CA81" s="1377"/>
      <c r="CB81" s="1377"/>
      <c r="CC81" s="1378"/>
      <c r="CD81" s="2087"/>
      <c r="CE81" s="2086" t="s">
        <v>66</v>
      </c>
      <c r="CF81" s="2087"/>
      <c r="CG81" s="2086" t="s">
        <v>66</v>
      </c>
      <c r="CH81" s="1377"/>
      <c r="CI81" s="1377"/>
      <c r="CJ81" s="1377"/>
      <c r="CK81" s="1378"/>
      <c r="CL81" s="2087"/>
      <c r="CM81" s="2086" t="s">
        <v>66</v>
      </c>
      <c r="CN81" s="2087"/>
      <c r="CO81" s="2086" t="s">
        <v>66</v>
      </c>
      <c r="CP81" s="312"/>
      <c r="CQ81" s="2119" t="s">
        <v>417</v>
      </c>
      <c r="CR81" s="1667">
        <f>STRCHECKDATE(V82:CP82)</f>
      </c>
      <c r="CS81" s="1649"/>
      <c r="CT81" s="1649" t="str">
        <f>IF(T81="","",T81)</f>
        <v>вода</v>
      </c>
      <c r="CU81" s="1649"/>
      <c r="CV81" s="1649"/>
    </row>
    <row s="2437" customFormat="1" customHeight="1" ht="0.75">
      <c r="A82" s="1380"/>
      <c r="B82" s="1380"/>
      <c r="C82" s="1380"/>
      <c r="D82" s="1380"/>
      <c r="E82" s="2090" t="s">
        <v>109</v>
      </c>
      <c r="F82" s="2090"/>
      <c r="G82" s="2090"/>
      <c r="H82" s="2090"/>
      <c r="I82" s="2092"/>
      <c r="J82" s="2092"/>
      <c r="K82" s="2091"/>
      <c r="L82" s="1386"/>
      <c r="M82" s="1383"/>
      <c r="N82" s="1383"/>
      <c r="O82" s="1383"/>
      <c r="P82" s="2205"/>
      <c r="Q82" s="2205"/>
      <c r="R82" s="345"/>
      <c r="S82" s="2349"/>
      <c r="T82" s="280"/>
      <c r="U82" s="280"/>
      <c r="V82" s="1377"/>
      <c r="W82" s="1377"/>
      <c r="X82" s="1377"/>
      <c r="Y82" s="316" t="str">
        <f>Z81&amp;"-"&amp;AB81</f>
        <v>-</v>
      </c>
      <c r="Z82" s="2086"/>
      <c r="AA82" s="2086"/>
      <c r="AB82" s="2086"/>
      <c r="AC82" s="2086"/>
      <c r="AD82" s="312"/>
      <c r="AE82" s="312"/>
      <c r="AF82" s="312"/>
      <c r="AG82" s="316" t="str">
        <f>AH81&amp;"-"&amp;AJ81</f>
        <v>45292.593993055554-45473.594039351854</v>
      </c>
      <c r="AH82" s="2134"/>
      <c r="AI82" s="1963"/>
      <c r="AJ82" s="2134"/>
      <c r="AK82" s="1963"/>
      <c r="AL82" s="312"/>
      <c r="AM82" s="312"/>
      <c r="AN82" s="312"/>
      <c r="AO82" s="316" t="str">
        <f>AP81&amp;"-"&amp;AR81</f>
        <v>45474.59409722222-45657.59415509259</v>
      </c>
      <c r="AP82" s="2134"/>
      <c r="AQ82" s="1963"/>
      <c r="AR82" s="2134"/>
      <c r="AS82" s="1963"/>
      <c r="AT82" s="1377"/>
      <c r="AU82" s="1377"/>
      <c r="AV82" s="1377"/>
      <c r="AW82" s="316" t="str">
        <f>AX81&amp;"-"&amp;AZ81</f>
        <v>-</v>
      </c>
      <c r="AX82" s="2086"/>
      <c r="AY82" s="2086"/>
      <c r="AZ82" s="2086"/>
      <c r="BA82" s="2086"/>
      <c r="BB82" s="1377"/>
      <c r="BC82" s="1377"/>
      <c r="BD82" s="1377"/>
      <c r="BE82" s="316" t="str">
        <f>BF81&amp;"-"&amp;BH81</f>
        <v>-</v>
      </c>
      <c r="BF82" s="2086"/>
      <c r="BG82" s="2086"/>
      <c r="BH82" s="2086"/>
      <c r="BI82" s="2086"/>
      <c r="BJ82" s="1377"/>
      <c r="BK82" s="1377"/>
      <c r="BL82" s="1377"/>
      <c r="BM82" s="316" t="str">
        <f>BN81&amp;"-"&amp;BP81</f>
        <v>-</v>
      </c>
      <c r="BN82" s="2086"/>
      <c r="BO82" s="2086"/>
      <c r="BP82" s="2086"/>
      <c r="BQ82" s="2086"/>
      <c r="BR82" s="1377"/>
      <c r="BS82" s="1377"/>
      <c r="BT82" s="1377"/>
      <c r="BU82" s="316" t="str">
        <f>BV81&amp;"-"&amp;BX81</f>
        <v>-</v>
      </c>
      <c r="BV82" s="2086"/>
      <c r="BW82" s="2086"/>
      <c r="BX82" s="2086"/>
      <c r="BY82" s="2086"/>
      <c r="BZ82" s="1377"/>
      <c r="CA82" s="1377"/>
      <c r="CB82" s="1377"/>
      <c r="CC82" s="316" t="str">
        <f>CD81&amp;"-"&amp;CF81</f>
        <v>-</v>
      </c>
      <c r="CD82" s="2086"/>
      <c r="CE82" s="2086"/>
      <c r="CF82" s="2086"/>
      <c r="CG82" s="2086"/>
      <c r="CH82" s="1377"/>
      <c r="CI82" s="1377"/>
      <c r="CJ82" s="1377"/>
      <c r="CK82" s="316" t="str">
        <f>CL81&amp;"-"&amp;CN81</f>
        <v>-</v>
      </c>
      <c r="CL82" s="2086"/>
      <c r="CM82" s="2086"/>
      <c r="CN82" s="2086"/>
      <c r="CO82" s="2086"/>
      <c r="CP82" s="312"/>
      <c r="CQ82" s="2120"/>
      <c r="CR82" s="1667"/>
      <c r="CS82" s="1649"/>
      <c r="CT82" s="1649" t="str">
        <f>IF(T82="","",T82)</f>
        <v/>
      </c>
      <c r="CU82" s="1649"/>
      <c r="CV82" s="1649"/>
    </row>
    <row s="2437" customFormat="1" customHeight="1" ht="15">
      <c r="A83" s="1380"/>
      <c r="B83" s="1380"/>
      <c r="C83" s="1380"/>
      <c r="D83" s="1380"/>
      <c r="E83" s="2090" t="s">
        <v>109</v>
      </c>
      <c r="F83" s="2090"/>
      <c r="G83" s="2090"/>
      <c r="H83" s="2090"/>
      <c r="I83" s="2092"/>
      <c r="J83" s="2091"/>
      <c r="K83" s="1380"/>
      <c r="L83" s="1386"/>
      <c r="M83" s="1383"/>
      <c r="N83" s="1383"/>
      <c r="O83" s="1801"/>
      <c r="P83" s="2205"/>
      <c r="Q83" s="2205"/>
      <c r="R83" s="344"/>
      <c r="S83" s="3210"/>
      <c r="T83" s="3211" t="s">
        <v>418</v>
      </c>
      <c r="U83" s="3212"/>
      <c r="V83" s="3213"/>
      <c r="W83" s="3214"/>
      <c r="X83" s="3215"/>
      <c r="Y83" s="3216"/>
      <c r="Z83" s="3217"/>
      <c r="AA83" s="3218"/>
      <c r="AB83" s="3219"/>
      <c r="AC83" s="3220"/>
      <c r="AD83" s="3221"/>
      <c r="AE83" s="3222"/>
      <c r="AF83" s="3223"/>
      <c r="AG83" s="3224"/>
      <c r="AH83" s="3225"/>
      <c r="AI83" s="3226"/>
      <c r="AJ83" s="3227"/>
      <c r="AK83" s="3228"/>
      <c r="AL83" s="3229"/>
      <c r="AM83" s="3230"/>
      <c r="AN83" s="3231"/>
      <c r="AO83" s="3232"/>
      <c r="AP83" s="3233"/>
      <c r="AQ83" s="3234"/>
      <c r="AR83" s="3235"/>
      <c r="AS83" s="3236"/>
      <c r="AT83" s="3237"/>
      <c r="AU83" s="3238"/>
      <c r="AV83" s="3239"/>
      <c r="AW83" s="3240"/>
      <c r="AX83" s="3241"/>
      <c r="AY83" s="3242"/>
      <c r="AZ83" s="3243"/>
      <c r="BA83" s="3244"/>
      <c r="BB83" s="3245"/>
      <c r="BC83" s="3246"/>
      <c r="BD83" s="3247"/>
      <c r="BE83" s="3248"/>
      <c r="BF83" s="3249"/>
      <c r="BG83" s="3250"/>
      <c r="BH83" s="3251"/>
      <c r="BI83" s="3252"/>
      <c r="BJ83" s="3253"/>
      <c r="BK83" s="3254"/>
      <c r="BL83" s="3255"/>
      <c r="BM83" s="3256"/>
      <c r="BN83" s="3257"/>
      <c r="BO83" s="3258"/>
      <c r="BP83" s="3259"/>
      <c r="BQ83" s="3260"/>
      <c r="BR83" s="3261"/>
      <c r="BS83" s="3262"/>
      <c r="BT83" s="3263"/>
      <c r="BU83" s="3264"/>
      <c r="BV83" s="3265"/>
      <c r="BW83" s="3266"/>
      <c r="BX83" s="3267"/>
      <c r="BY83" s="3268"/>
      <c r="BZ83" s="3269"/>
      <c r="CA83" s="3270"/>
      <c r="CB83" s="3271"/>
      <c r="CC83" s="3272"/>
      <c r="CD83" s="3273"/>
      <c r="CE83" s="3274"/>
      <c r="CF83" s="3275"/>
      <c r="CG83" s="3276"/>
      <c r="CH83" s="3277"/>
      <c r="CI83" s="3278"/>
      <c r="CJ83" s="3279"/>
      <c r="CK83" s="3280"/>
      <c r="CL83" s="3281"/>
      <c r="CM83" s="3282"/>
      <c r="CN83" s="3283"/>
      <c r="CO83" s="3284"/>
      <c r="CP83" s="3285"/>
      <c r="CQ83" s="2121"/>
      <c r="CR83" s="1667"/>
      <c r="CS83" s="1649"/>
      <c r="CT83" s="1649" t="str">
        <f>IF(T83="","",T83)</f>
        <v>Добавить вид теплоносителя (параметры теплоносителя)</v>
      </c>
      <c r="CU83" s="1649"/>
      <c r="CV83" s="1649"/>
    </row>
    <row s="2437" customFormat="1" customHeight="1" ht="15">
      <c r="A84" s="1380"/>
      <c r="B84" s="1380"/>
      <c r="C84" s="1380"/>
      <c r="D84" s="1380"/>
      <c r="E84" s="2090" t="s">
        <v>109</v>
      </c>
      <c r="F84" s="2090"/>
      <c r="G84" s="2090"/>
      <c r="H84" s="2090"/>
      <c r="I84" s="2091"/>
      <c r="J84" s="1380"/>
      <c r="K84" s="1380"/>
      <c r="L84" s="1386"/>
      <c r="M84" s="1383"/>
      <c r="N84" s="1801"/>
      <c r="O84" s="1801"/>
      <c r="P84" s="2205"/>
      <c r="Q84" s="2205"/>
      <c r="R84" s="344"/>
      <c r="S84" s="3286"/>
      <c r="T84" s="3287" t="s">
        <v>419</v>
      </c>
      <c r="U84" s="3288"/>
      <c r="V84" s="3289"/>
      <c r="W84" s="3290"/>
      <c r="X84" s="3291"/>
      <c r="Y84" s="3292"/>
      <c r="Z84" s="3293"/>
      <c r="AA84" s="3294"/>
      <c r="AB84" s="3295"/>
      <c r="AC84" s="3296"/>
      <c r="AD84" s="3297"/>
      <c r="AE84" s="3298"/>
      <c r="AF84" s="3299"/>
      <c r="AG84" s="3300"/>
      <c r="AH84" s="3301"/>
      <c r="AI84" s="3302"/>
      <c r="AJ84" s="3303"/>
      <c r="AK84" s="3304"/>
      <c r="AL84" s="3305"/>
      <c r="AM84" s="3306"/>
      <c r="AN84" s="3307"/>
      <c r="AO84" s="3308"/>
      <c r="AP84" s="3309"/>
      <c r="AQ84" s="3310"/>
      <c r="AR84" s="3311"/>
      <c r="AS84" s="3312"/>
      <c r="AT84" s="3313"/>
      <c r="AU84" s="3314"/>
      <c r="AV84" s="3315"/>
      <c r="AW84" s="3316"/>
      <c r="AX84" s="3317"/>
      <c r="AY84" s="3318"/>
      <c r="AZ84" s="3319"/>
      <c r="BA84" s="3320"/>
      <c r="BB84" s="3321"/>
      <c r="BC84" s="3322"/>
      <c r="BD84" s="3323"/>
      <c r="BE84" s="3324"/>
      <c r="BF84" s="3325"/>
      <c r="BG84" s="3326"/>
      <c r="BH84" s="3327"/>
      <c r="BI84" s="3328"/>
      <c r="BJ84" s="3329"/>
      <c r="BK84" s="3330"/>
      <c r="BL84" s="3331"/>
      <c r="BM84" s="3332"/>
      <c r="BN84" s="3333"/>
      <c r="BO84" s="3334"/>
      <c r="BP84" s="3335"/>
      <c r="BQ84" s="3336"/>
      <c r="BR84" s="3337"/>
      <c r="BS84" s="3338"/>
      <c r="BT84" s="3339"/>
      <c r="BU84" s="3340"/>
      <c r="BV84" s="3341"/>
      <c r="BW84" s="3342"/>
      <c r="BX84" s="3343"/>
      <c r="BY84" s="3344"/>
      <c r="BZ84" s="3345"/>
      <c r="CA84" s="3346"/>
      <c r="CB84" s="3347"/>
      <c r="CC84" s="3348"/>
      <c r="CD84" s="3349"/>
      <c r="CE84" s="3350"/>
      <c r="CF84" s="3351"/>
      <c r="CG84" s="3352"/>
      <c r="CH84" s="3353"/>
      <c r="CI84" s="3354"/>
      <c r="CJ84" s="3355"/>
      <c r="CK84" s="3356"/>
      <c r="CL84" s="3357"/>
      <c r="CM84" s="3358"/>
      <c r="CN84" s="3359"/>
      <c r="CO84" s="3360"/>
      <c r="CP84" s="3361"/>
      <c r="CQ84" s="3362"/>
      <c r="CR84" s="1667"/>
      <c r="CS84" s="1649"/>
      <c r="CT84" s="1649" t="str">
        <f>IF(T84="","",T84)</f>
        <v>Добавить группу потребителей</v>
      </c>
      <c r="CU84" s="1649"/>
      <c r="CV84" s="1649"/>
    </row>
    <row s="2437" customFormat="1" customHeight="1" ht="14.25">
      <c r="A85" s="1380"/>
      <c r="B85" s="1380"/>
      <c r="C85" s="1380"/>
      <c r="D85" s="1380"/>
      <c r="E85" s="2090" t="s">
        <v>109</v>
      </c>
      <c r="F85" s="2090"/>
      <c r="G85" s="2090"/>
      <c r="H85" s="2089"/>
      <c r="I85" s="1380"/>
      <c r="J85" s="1380"/>
      <c r="K85" s="1380"/>
      <c r="L85" s="1386"/>
      <c r="M85" s="1382"/>
      <c r="N85" s="1382"/>
      <c r="O85" s="1383"/>
      <c r="P85" s="1848"/>
      <c r="Q85" s="367"/>
      <c r="R85" s="343"/>
      <c r="S85" s="3363"/>
      <c r="T85" s="3364" t="s">
        <v>420</v>
      </c>
      <c r="U85" s="3365"/>
      <c r="V85" s="3366"/>
      <c r="W85" s="3367"/>
      <c r="X85" s="3368"/>
      <c r="Y85" s="3369"/>
      <c r="Z85" s="3370"/>
      <c r="AA85" s="3371"/>
      <c r="AB85" s="3372"/>
      <c r="AC85" s="3373"/>
      <c r="AD85" s="3374"/>
      <c r="AE85" s="3375"/>
      <c r="AF85" s="3376"/>
      <c r="AG85" s="3377"/>
      <c r="AH85" s="3378"/>
      <c r="AI85" s="3379"/>
      <c r="AJ85" s="3380"/>
      <c r="AK85" s="3381"/>
      <c r="AL85" s="3382"/>
      <c r="AM85" s="3383"/>
      <c r="AN85" s="3384"/>
      <c r="AO85" s="3385"/>
      <c r="AP85" s="3386"/>
      <c r="AQ85" s="3387"/>
      <c r="AR85" s="3388"/>
      <c r="AS85" s="3389"/>
      <c r="AT85" s="3390"/>
      <c r="AU85" s="3391"/>
      <c r="AV85" s="3392"/>
      <c r="AW85" s="3393"/>
      <c r="AX85" s="3394"/>
      <c r="AY85" s="3395"/>
      <c r="AZ85" s="3396"/>
      <c r="BA85" s="3397"/>
      <c r="BB85" s="3398"/>
      <c r="BC85" s="3399"/>
      <c r="BD85" s="3400"/>
      <c r="BE85" s="3401"/>
      <c r="BF85" s="3402"/>
      <c r="BG85" s="3403"/>
      <c r="BH85" s="3404"/>
      <c r="BI85" s="3405"/>
      <c r="BJ85" s="3406"/>
      <c r="BK85" s="3407"/>
      <c r="BL85" s="3408"/>
      <c r="BM85" s="3409"/>
      <c r="BN85" s="3410"/>
      <c r="BO85" s="3411"/>
      <c r="BP85" s="3412"/>
      <c r="BQ85" s="3413"/>
      <c r="BR85" s="3414"/>
      <c r="BS85" s="3415"/>
      <c r="BT85" s="3416"/>
      <c r="BU85" s="3417"/>
      <c r="BV85" s="3418"/>
      <c r="BW85" s="3419"/>
      <c r="BX85" s="3420"/>
      <c r="BY85" s="3421"/>
      <c r="BZ85" s="3422"/>
      <c r="CA85" s="3423"/>
      <c r="CB85" s="3424"/>
      <c r="CC85" s="3425"/>
      <c r="CD85" s="3426"/>
      <c r="CE85" s="3427"/>
      <c r="CF85" s="3428"/>
      <c r="CG85" s="3429"/>
      <c r="CH85" s="3430"/>
      <c r="CI85" s="3431"/>
      <c r="CJ85" s="3432"/>
      <c r="CK85" s="3433"/>
      <c r="CL85" s="3434"/>
      <c r="CM85" s="3435"/>
      <c r="CN85" s="3436"/>
      <c r="CO85" s="3437"/>
      <c r="CP85" s="3438"/>
      <c r="CQ85" s="3439"/>
      <c r="CR85" s="1667"/>
      <c r="CS85" s="1649"/>
      <c r="CT85" s="1649" t="str">
        <f>IF(T85="","",T85)</f>
        <v>Добавить схему подключения</v>
      </c>
      <c r="CU85" s="1649"/>
      <c r="CV85" s="1649"/>
    </row>
    <row s="618" customFormat="1" customHeight="1" ht="0.75">
      <c r="A86" s="1360"/>
      <c r="B86" s="1360"/>
      <c r="C86" s="1360"/>
      <c r="D86" s="1360"/>
      <c r="E86" s="2090" t="s">
        <v>109</v>
      </c>
      <c r="F86" s="2090"/>
      <c r="G86" s="2089"/>
      <c r="H86" s="1360"/>
      <c r="I86" s="1360"/>
      <c r="J86" s="1360"/>
      <c r="K86" s="1360"/>
      <c r="L86" s="1568"/>
      <c r="M86" s="1332"/>
      <c r="N86" s="1332"/>
      <c r="O86" s="1667"/>
      <c r="P86" s="1333"/>
      <c r="Q86" s="1361"/>
      <c r="R86" s="1333"/>
      <c r="S86" s="1335"/>
      <c r="T86" s="1336" t="s">
        <v>166</v>
      </c>
      <c r="U86" s="1337"/>
      <c r="V86" s="1337"/>
      <c r="W86" s="1337"/>
      <c r="X86" s="1337"/>
      <c r="Y86" s="1337"/>
      <c r="Z86" s="1337"/>
      <c r="AA86" s="1337"/>
      <c r="AB86" s="1337"/>
      <c r="AC86" s="1337"/>
      <c r="AD86" s="1337"/>
      <c r="AE86" s="1337"/>
      <c r="AF86" s="1337"/>
      <c r="AG86" s="1337"/>
      <c r="AH86" s="1337"/>
      <c r="AI86" s="1337"/>
      <c r="AJ86" s="1337"/>
      <c r="AK86" s="1337"/>
      <c r="AL86" s="1337"/>
      <c r="AM86" s="1337"/>
      <c r="AN86" s="1337"/>
      <c r="AO86" s="1337"/>
      <c r="AP86" s="1337"/>
      <c r="AQ86" s="1337"/>
      <c r="AR86" s="1337"/>
      <c r="AS86" s="1337"/>
      <c r="AT86" s="1337"/>
      <c r="AU86" s="1337"/>
      <c r="AV86" s="1337"/>
      <c r="AW86" s="1337"/>
      <c r="AX86" s="1337"/>
      <c r="AY86" s="1337"/>
      <c r="AZ86" s="1337"/>
      <c r="BA86" s="1337"/>
      <c r="BB86" s="1337"/>
      <c r="BC86" s="1337"/>
      <c r="BD86" s="1337"/>
      <c r="BE86" s="1337"/>
      <c r="BF86" s="1337"/>
      <c r="BG86" s="1337"/>
      <c r="BH86" s="1337"/>
      <c r="BI86" s="1337"/>
      <c r="BJ86" s="1337"/>
      <c r="BK86" s="1337"/>
      <c r="BL86" s="1337"/>
      <c r="BM86" s="1337"/>
      <c r="BN86" s="1337"/>
      <c r="BO86" s="1337"/>
      <c r="BP86" s="1337"/>
      <c r="BQ86" s="1337"/>
      <c r="BR86" s="1337"/>
      <c r="BS86" s="1337"/>
      <c r="BT86" s="1337"/>
      <c r="BU86" s="1337"/>
      <c r="BV86" s="1337"/>
      <c r="BW86" s="1337"/>
      <c r="BX86" s="1337"/>
      <c r="BY86" s="1337"/>
      <c r="BZ86" s="1337"/>
      <c r="CA86" s="1337"/>
      <c r="CB86" s="1337"/>
      <c r="CC86" s="1337"/>
      <c r="CD86" s="1337"/>
      <c r="CE86" s="1337"/>
      <c r="CF86" s="1337"/>
      <c r="CG86" s="1337"/>
      <c r="CH86" s="1337"/>
      <c r="CI86" s="1337"/>
      <c r="CJ86" s="1337"/>
      <c r="CK86" s="1337"/>
      <c r="CL86" s="1337"/>
      <c r="CM86" s="1337"/>
      <c r="CN86" s="1337"/>
      <c r="CO86" s="1337"/>
      <c r="CP86" s="1337"/>
      <c r="CQ86" s="1337"/>
      <c r="CR86" s="1667"/>
      <c r="CS86" s="1649"/>
      <c r="CT86" s="1649" t="str">
        <f>IF(T86="","",T86)</f>
        <v>Добавить источник для дифференциации</v>
      </c>
      <c r="CU86" s="1649"/>
      <c r="CV86" s="1649"/>
    </row>
    <row s="618" customFormat="1" customHeight="1" ht="0.75">
      <c r="A87" s="1360"/>
      <c r="B87" s="1360"/>
      <c r="C87" s="1360"/>
      <c r="D87" s="1360"/>
      <c r="E87" s="2090" t="s">
        <v>109</v>
      </c>
      <c r="F87" s="2089"/>
      <c r="G87" s="1360"/>
      <c r="H87" s="1360"/>
      <c r="I87" s="1360"/>
      <c r="J87" s="1360"/>
      <c r="K87" s="1360"/>
      <c r="L87" s="1568"/>
      <c r="M87" s="1338"/>
      <c r="N87" s="1338"/>
      <c r="O87" s="1667"/>
      <c r="P87" s="1333"/>
      <c r="Q87" s="1361"/>
      <c r="R87" s="1333"/>
      <c r="S87" s="1339"/>
      <c r="T87" s="1340" t="s">
        <v>167</v>
      </c>
      <c r="U87" s="1341"/>
      <c r="V87" s="1341"/>
      <c r="W87" s="1341"/>
      <c r="X87" s="1341"/>
      <c r="Y87" s="1341"/>
      <c r="Z87" s="1341"/>
      <c r="AA87" s="1341"/>
      <c r="AB87" s="1341"/>
      <c r="AC87" s="1341"/>
      <c r="AD87" s="1341"/>
      <c r="AE87" s="1341"/>
      <c r="AF87" s="1341"/>
      <c r="AG87" s="1341"/>
      <c r="AH87" s="1341"/>
      <c r="AI87" s="1341"/>
      <c r="AJ87" s="1341"/>
      <c r="AK87" s="1341"/>
      <c r="AL87" s="1341"/>
      <c r="AM87" s="1341"/>
      <c r="AN87" s="1341"/>
      <c r="AO87" s="1341"/>
      <c r="AP87" s="1341"/>
      <c r="AQ87" s="1341"/>
      <c r="AR87" s="1341"/>
      <c r="AS87" s="1341"/>
      <c r="AT87" s="1341"/>
      <c r="AU87" s="1341"/>
      <c r="AV87" s="1341"/>
      <c r="AW87" s="1341"/>
      <c r="AX87" s="1341"/>
      <c r="AY87" s="1341"/>
      <c r="AZ87" s="1341"/>
      <c r="BA87" s="1341"/>
      <c r="BB87" s="1341"/>
      <c r="BC87" s="1341"/>
      <c r="BD87" s="1341"/>
      <c r="BE87" s="1341"/>
      <c r="BF87" s="1341"/>
      <c r="BG87" s="1341"/>
      <c r="BH87" s="1341"/>
      <c r="BI87" s="1341"/>
      <c r="BJ87" s="1341"/>
      <c r="BK87" s="1341"/>
      <c r="BL87" s="1341"/>
      <c r="BM87" s="1341"/>
      <c r="BN87" s="1341"/>
      <c r="BO87" s="1341"/>
      <c r="BP87" s="1341"/>
      <c r="BQ87" s="1341"/>
      <c r="BR87" s="1341"/>
      <c r="BS87" s="1341"/>
      <c r="BT87" s="1341"/>
      <c r="BU87" s="1341"/>
      <c r="BV87" s="1341"/>
      <c r="BW87" s="1341"/>
      <c r="BX87" s="1341"/>
      <c r="BY87" s="1341"/>
      <c r="BZ87" s="1341"/>
      <c r="CA87" s="1341"/>
      <c r="CB87" s="1341"/>
      <c r="CC87" s="1341"/>
      <c r="CD87" s="1341"/>
      <c r="CE87" s="1341"/>
      <c r="CF87" s="1341"/>
      <c r="CG87" s="1341"/>
      <c r="CH87" s="1341"/>
      <c r="CI87" s="1341"/>
      <c r="CJ87" s="1341"/>
      <c r="CK87" s="1341"/>
      <c r="CL87" s="1341"/>
      <c r="CM87" s="1341"/>
      <c r="CN87" s="1341"/>
      <c r="CO87" s="1341"/>
      <c r="CP87" s="1341"/>
      <c r="CQ87" s="1341"/>
      <c r="CR87" s="1667"/>
      <c r="CS87" s="1649"/>
      <c r="CT87" s="1649" t="str">
        <f>IF(T87="","",T87)</f>
        <v>Добавить централизованную систему для дифференциации</v>
      </c>
      <c r="CU87" s="1649"/>
      <c r="CV87" s="1649"/>
    </row>
    <row s="618" customFormat="1" customHeight="1" ht="0.75">
      <c r="A88" s="1360"/>
      <c r="B88" s="1360"/>
      <c r="C88" s="1360"/>
      <c r="D88" s="1360"/>
      <c r="E88" s="2089" t="s">
        <v>109</v>
      </c>
      <c r="F88" s="1360"/>
      <c r="G88" s="1360"/>
      <c r="H88" s="1360"/>
      <c r="I88" s="1360"/>
      <c r="J88" s="1360"/>
      <c r="K88" s="1360"/>
      <c r="L88" s="1568"/>
      <c r="M88" s="1338"/>
      <c r="N88" s="1338"/>
      <c r="O88" s="1667"/>
      <c r="P88" s="1333"/>
      <c r="Q88" s="1361"/>
      <c r="R88" s="1333"/>
      <c r="S88" s="1339"/>
      <c r="T88" s="1342" t="s">
        <v>168</v>
      </c>
      <c r="U88" s="1341"/>
      <c r="V88" s="1341"/>
      <c r="W88" s="1341"/>
      <c r="X88" s="1341"/>
      <c r="Y88" s="1341"/>
      <c r="Z88" s="1341"/>
      <c r="AA88" s="1341"/>
      <c r="AB88" s="1341"/>
      <c r="AC88" s="1341"/>
      <c r="AD88" s="1341"/>
      <c r="AE88" s="1341"/>
      <c r="AF88" s="1341"/>
      <c r="AG88" s="1341"/>
      <c r="AH88" s="1341"/>
      <c r="AI88" s="1341"/>
      <c r="AJ88" s="1341"/>
      <c r="AK88" s="1341"/>
      <c r="AL88" s="1341"/>
      <c r="AM88" s="1341"/>
      <c r="AN88" s="1341"/>
      <c r="AO88" s="1341"/>
      <c r="AP88" s="1341"/>
      <c r="AQ88" s="1341"/>
      <c r="AR88" s="1341"/>
      <c r="AS88" s="1341"/>
      <c r="AT88" s="1341"/>
      <c r="AU88" s="1341"/>
      <c r="AV88" s="1341"/>
      <c r="AW88" s="1341"/>
      <c r="AX88" s="1341"/>
      <c r="AY88" s="1341"/>
      <c r="AZ88" s="1341"/>
      <c r="BA88" s="1341"/>
      <c r="BB88" s="1341"/>
      <c r="BC88" s="1341"/>
      <c r="BD88" s="1341"/>
      <c r="BE88" s="1341"/>
      <c r="BF88" s="1341"/>
      <c r="BG88" s="1341"/>
      <c r="BH88" s="1341"/>
      <c r="BI88" s="1341"/>
      <c r="BJ88" s="1341"/>
      <c r="BK88" s="1341"/>
      <c r="BL88" s="1341"/>
      <c r="BM88" s="1341"/>
      <c r="BN88" s="1341"/>
      <c r="BO88" s="1341"/>
      <c r="BP88" s="1341"/>
      <c r="BQ88" s="1341"/>
      <c r="BR88" s="1341"/>
      <c r="BS88" s="1341"/>
      <c r="BT88" s="1341"/>
      <c r="BU88" s="1341"/>
      <c r="BV88" s="1341"/>
      <c r="BW88" s="1341"/>
      <c r="BX88" s="1341"/>
      <c r="BY88" s="1341"/>
      <c r="BZ88" s="1341"/>
      <c r="CA88" s="1341"/>
      <c r="CB88" s="1341"/>
      <c r="CC88" s="1341"/>
      <c r="CD88" s="1341"/>
      <c r="CE88" s="1341"/>
      <c r="CF88" s="1341"/>
      <c r="CG88" s="1341"/>
      <c r="CH88" s="1341"/>
      <c r="CI88" s="1341"/>
      <c r="CJ88" s="1341"/>
      <c r="CK88" s="1341"/>
      <c r="CL88" s="1341"/>
      <c r="CM88" s="1341"/>
      <c r="CN88" s="1341"/>
      <c r="CO88" s="1341"/>
      <c r="CP88" s="1341"/>
      <c r="CQ88" s="1341"/>
      <c r="CR88" s="1667"/>
      <c r="CS88" s="1649"/>
      <c r="CT88" s="1649" t="str">
        <f>IF(T88="","",T88)</f>
        <v>Добавить территорию для дифференциации</v>
      </c>
      <c r="CU88" s="1649"/>
      <c r="CV88" s="1649"/>
    </row>
    <row s="1667" customFormat="1" customHeight="1" ht="0.75">
      <c r="A89" s="1331"/>
      <c r="B89" s="1331"/>
      <c r="C89" s="1331"/>
      <c r="D89" s="1331"/>
      <c r="E89" s="1360"/>
      <c r="F89" s="1331"/>
      <c r="G89" s="1331"/>
      <c r="H89" s="1331"/>
      <c r="I89" s="1331"/>
      <c r="J89" s="1331"/>
      <c r="K89" s="1331"/>
      <c r="L89" s="1356"/>
      <c r="M89" s="1338"/>
      <c r="N89" s="1338"/>
      <c r="P89" s="1333"/>
      <c r="Q89" s="1334"/>
      <c r="R89" s="1333"/>
      <c r="S89" s="1339"/>
      <c r="T89" s="1342" t="s">
        <v>180</v>
      </c>
      <c r="U89" s="1341"/>
      <c r="V89" s="1341"/>
      <c r="W89" s="1341"/>
      <c r="X89" s="1341"/>
      <c r="Y89" s="1341"/>
      <c r="Z89" s="1341"/>
      <c r="AA89" s="1341"/>
      <c r="AB89" s="1341"/>
      <c r="AC89" s="1341"/>
      <c r="AD89" s="1341"/>
      <c r="AE89" s="1341"/>
      <c r="AF89" s="1341"/>
      <c r="AG89" s="1341"/>
      <c r="AH89" s="1341"/>
      <c r="AI89" s="1341"/>
      <c r="AJ89" s="1341"/>
      <c r="AK89" s="1341"/>
      <c r="AL89" s="1341"/>
      <c r="AM89" s="1341"/>
      <c r="AN89" s="1341"/>
      <c r="AO89" s="1341"/>
      <c r="AP89" s="1341"/>
      <c r="AQ89" s="1341"/>
      <c r="AR89" s="1341"/>
      <c r="AS89" s="1341"/>
      <c r="AT89" s="1341"/>
      <c r="AU89" s="1341"/>
      <c r="AV89" s="1341"/>
      <c r="AW89" s="1341"/>
      <c r="AX89" s="1341"/>
      <c r="AY89" s="1341"/>
      <c r="AZ89" s="1341"/>
      <c r="BA89" s="1341"/>
      <c r="BB89" s="1341"/>
      <c r="BC89" s="1341"/>
      <c r="BD89" s="1341"/>
      <c r="BE89" s="1341"/>
      <c r="BF89" s="1341"/>
      <c r="BG89" s="1341"/>
      <c r="BH89" s="1341"/>
      <c r="BI89" s="1341"/>
      <c r="BJ89" s="1341"/>
      <c r="BK89" s="1341"/>
      <c r="BL89" s="1341"/>
      <c r="BM89" s="1341"/>
      <c r="BN89" s="1341"/>
      <c r="BO89" s="1341"/>
      <c r="BP89" s="1341"/>
      <c r="BQ89" s="1341"/>
      <c r="BR89" s="1341"/>
      <c r="BS89" s="1341"/>
      <c r="BT89" s="1341"/>
      <c r="BU89" s="1341"/>
      <c r="BV89" s="1341"/>
      <c r="BW89" s="1341"/>
      <c r="BX89" s="1341"/>
      <c r="BY89" s="1341"/>
      <c r="BZ89" s="1341"/>
      <c r="CA89" s="1341"/>
      <c r="CB89" s="1341"/>
      <c r="CC89" s="1341"/>
      <c r="CD89" s="1341"/>
      <c r="CE89" s="1341"/>
      <c r="CF89" s="1341"/>
      <c r="CG89" s="1341"/>
      <c r="CH89" s="1341"/>
      <c r="CI89" s="1341"/>
      <c r="CJ89" s="1341"/>
      <c r="CK89" s="1341"/>
      <c r="CL89" s="1341"/>
      <c r="CM89" s="1341"/>
      <c r="CN89" s="1341"/>
      <c r="CO89" s="1341"/>
      <c r="CP89" s="1341"/>
      <c r="CQ89" s="1341"/>
      <c r="CS89" s="783"/>
      <c r="CT89" s="783" t="str">
        <f>IF(T89="","",T89)</f>
        <v>Добавить наименование тарифа</v>
      </c>
      <c r="CU89" s="783"/>
      <c r="CV89" s="783"/>
    </row>
    <row customHeight="1" ht="11.25">
      <c r="M90" s="1155"/>
      <c r="N90" s="1155"/>
      <c r="O90" s="533"/>
      <c r="P90" s="1150"/>
      <c r="Q90" s="1150"/>
      <c r="R90" s="1150"/>
      <c r="S90" s="1150"/>
      <c r="AL90" s="1660"/>
      <c r="AM90" s="1660"/>
      <c r="AN90" s="1660"/>
      <c r="AO90" s="1660"/>
      <c r="AP90" s="1660"/>
      <c r="AQ90" s="1660"/>
      <c r="AR90" s="1660"/>
      <c r="AS90" s="1660"/>
      <c r="AT90" s="1660"/>
      <c r="AU90" s="1660"/>
      <c r="AV90" s="1660"/>
      <c r="AW90" s="1660"/>
      <c r="AX90" s="1660"/>
      <c r="AY90" s="1660"/>
      <c r="AZ90" s="1660"/>
      <c r="BA90" s="1660"/>
      <c r="BB90" s="1660"/>
      <c r="BC90" s="1660"/>
      <c r="BD90" s="1660"/>
      <c r="BE90" s="1660"/>
      <c r="BF90" s="1660"/>
      <c r="BG90" s="1660"/>
      <c r="BH90" s="1660"/>
      <c r="BI90" s="1660"/>
      <c r="BJ90" s="1660"/>
      <c r="BK90" s="1660"/>
      <c r="BL90" s="1660"/>
      <c r="BM90" s="1660"/>
      <c r="BN90" s="1660"/>
      <c r="BO90" s="1660"/>
      <c r="BP90" s="1660"/>
      <c r="BQ90" s="1660"/>
      <c r="BR90" s="1660"/>
      <c r="BS90" s="1660"/>
      <c r="BT90" s="1660"/>
      <c r="BU90" s="1660"/>
      <c r="BV90" s="1660"/>
      <c r="BW90" s="1660"/>
      <c r="BX90" s="1660"/>
      <c r="BY90" s="1660"/>
      <c r="BZ90" s="1660"/>
      <c r="CA90" s="1660"/>
      <c r="CB90" s="1660"/>
      <c r="CC90" s="1660"/>
      <c r="CD90" s="1660"/>
      <c r="CE90" s="1660"/>
      <c r="CF90" s="1660"/>
      <c r="CG90" s="1660"/>
      <c r="CH90" s="1660"/>
      <c r="CI90" s="1660"/>
      <c r="CJ90" s="1660"/>
      <c r="CK90" s="1660"/>
      <c r="CL90" s="1660"/>
      <c r="CM90" s="1660"/>
      <c r="CN90" s="1660"/>
      <c r="CO90" s="1660"/>
      <c r="CR90" s="1150"/>
      <c r="CS90" s="1150"/>
      <c r="CT90" s="1150"/>
      <c r="CU90" s="1150"/>
      <c r="CV90" s="1150"/>
    </row>
    <row customHeight="1" ht="27">
      <c r="O91" s="533"/>
      <c r="S91" s="1260"/>
      <c r="T91" s="2088"/>
      <c r="U91" s="2088"/>
      <c r="V91" s="2088"/>
      <c r="W91" s="2088"/>
      <c r="X91" s="2088"/>
      <c r="Y91" s="2088"/>
      <c r="Z91" s="2088"/>
      <c r="AA91" s="2088"/>
      <c r="AB91" s="2088"/>
      <c r="AC91" s="2088"/>
      <c r="AD91" s="2088"/>
      <c r="AE91" s="2088"/>
      <c r="AF91" s="2088"/>
      <c r="AG91" s="2088"/>
      <c r="AH91" s="2088"/>
      <c r="AI91" s="2088"/>
      <c r="AJ91" s="2088"/>
      <c r="AK91" s="2088"/>
      <c r="AL91" s="2215"/>
      <c r="AM91" s="2215"/>
      <c r="AN91" s="2215"/>
      <c r="AO91" s="2215"/>
      <c r="AP91" s="2215"/>
      <c r="AQ91" s="2215"/>
      <c r="AR91" s="2215"/>
      <c r="AS91" s="2215"/>
      <c r="AT91" s="2215"/>
      <c r="AU91" s="2215"/>
      <c r="AV91" s="2215"/>
      <c r="AW91" s="2215"/>
      <c r="AX91" s="2215"/>
      <c r="AY91" s="2215"/>
      <c r="AZ91" s="2215"/>
      <c r="BA91" s="2215"/>
      <c r="BB91" s="2215"/>
      <c r="BC91" s="2215"/>
      <c r="BD91" s="2215"/>
      <c r="BE91" s="2215"/>
      <c r="BF91" s="2215"/>
      <c r="BG91" s="2215"/>
      <c r="BH91" s="2215"/>
      <c r="BI91" s="2215"/>
      <c r="BJ91" s="2215"/>
      <c r="BK91" s="2215"/>
      <c r="BL91" s="2215"/>
      <c r="BM91" s="2215"/>
      <c r="BN91" s="2215"/>
      <c r="BO91" s="2215"/>
      <c r="BP91" s="2215"/>
      <c r="BQ91" s="2215"/>
      <c r="BR91" s="2215"/>
      <c r="BS91" s="2215"/>
      <c r="BT91" s="2215"/>
      <c r="BU91" s="2215"/>
      <c r="BV91" s="2215"/>
      <c r="BW91" s="2215"/>
      <c r="BX91" s="2215"/>
      <c r="BY91" s="2215"/>
      <c r="BZ91" s="2215"/>
      <c r="CA91" s="2215"/>
      <c r="CB91" s="2215"/>
      <c r="CC91" s="2215"/>
      <c r="CD91" s="2215"/>
      <c r="CE91" s="2215"/>
      <c r="CF91" s="2215"/>
      <c r="CG91" s="2215"/>
      <c r="CH91" s="2215"/>
      <c r="CI91" s="2215"/>
      <c r="CJ91" s="2215"/>
      <c r="CK91" s="2215"/>
      <c r="CL91" s="2215"/>
      <c r="CM91" s="2215"/>
      <c r="CN91" s="2215"/>
      <c r="CO91" s="2215"/>
      <c r="CP91" s="2088"/>
      <c r="CQ91" s="2088"/>
    </row>
    <row customHeight="1" ht="62.25">
      <c r="O92" s="533"/>
      <c r="T92" s="2088"/>
      <c r="U92" s="2088"/>
      <c r="V92" s="2088"/>
      <c r="W92" s="2088"/>
      <c r="X92" s="2088"/>
      <c r="Y92" s="2088"/>
      <c r="Z92" s="2088"/>
      <c r="AA92" s="2088"/>
      <c r="AB92" s="2088"/>
      <c r="AC92" s="2088"/>
      <c r="AD92" s="2088"/>
      <c r="AE92" s="2088"/>
      <c r="AF92" s="2088"/>
      <c r="AG92" s="2088"/>
      <c r="AH92" s="2088"/>
      <c r="AI92" s="2088"/>
      <c r="AJ92" s="2088"/>
      <c r="AK92" s="2088"/>
      <c r="AL92" s="2215"/>
      <c r="AM92" s="2215"/>
      <c r="AN92" s="2215"/>
      <c r="AO92" s="2215"/>
      <c r="AP92" s="2215"/>
      <c r="AQ92" s="2215"/>
      <c r="AR92" s="2215"/>
      <c r="AS92" s="2215"/>
      <c r="AT92" s="2215"/>
      <c r="AU92" s="2215"/>
      <c r="AV92" s="2215"/>
      <c r="AW92" s="2215"/>
      <c r="AX92" s="2215"/>
      <c r="AY92" s="2215"/>
      <c r="AZ92" s="2215"/>
      <c r="BA92" s="2215"/>
      <c r="BB92" s="2215"/>
      <c r="BC92" s="2215"/>
      <c r="BD92" s="2215"/>
      <c r="BE92" s="2215"/>
      <c r="BF92" s="2215"/>
      <c r="BG92" s="2215"/>
      <c r="BH92" s="2215"/>
      <c r="BI92" s="2215"/>
      <c r="BJ92" s="2215"/>
      <c r="BK92" s="2215"/>
      <c r="BL92" s="2215"/>
      <c r="BM92" s="2215"/>
      <c r="BN92" s="2215"/>
      <c r="BO92" s="2215"/>
      <c r="BP92" s="2215"/>
      <c r="BQ92" s="2215"/>
      <c r="BR92" s="2215"/>
      <c r="BS92" s="2215"/>
      <c r="BT92" s="2215"/>
      <c r="BU92" s="2215"/>
      <c r="BV92" s="2215"/>
      <c r="BW92" s="2215"/>
      <c r="BX92" s="2215"/>
      <c r="BY92" s="2215"/>
      <c r="BZ92" s="2215"/>
      <c r="CA92" s="2215"/>
      <c r="CB92" s="2215"/>
      <c r="CC92" s="2215"/>
      <c r="CD92" s="2215"/>
      <c r="CE92" s="2215"/>
      <c r="CF92" s="2215"/>
      <c r="CG92" s="2215"/>
      <c r="CH92" s="2215"/>
      <c r="CI92" s="2215"/>
      <c r="CJ92" s="2215"/>
      <c r="CK92" s="2215"/>
      <c r="CL92" s="2215"/>
      <c r="CM92" s="2215"/>
      <c r="CN92" s="2215"/>
      <c r="CO92" s="2215"/>
      <c r="CP92" s="2088"/>
      <c r="CQ92" s="2088"/>
    </row>
    <row customHeight="1" ht="14.25">
      <c r="O93" s="533"/>
      <c r="AL93" s="1660"/>
      <c r="AM93" s="1660"/>
      <c r="AN93" s="1660"/>
      <c r="AO93" s="1660"/>
      <c r="AP93" s="1660"/>
      <c r="AQ93" s="1660"/>
      <c r="AR93" s="1660"/>
      <c r="AS93" s="1660"/>
      <c r="AT93" s="1660"/>
      <c r="AU93" s="1660"/>
      <c r="AV93" s="1660"/>
      <c r="AW93" s="1660"/>
      <c r="AX93" s="1660"/>
      <c r="AY93" s="1660"/>
      <c r="AZ93" s="1660"/>
      <c r="BA93" s="1660"/>
      <c r="BB93" s="1660"/>
      <c r="BC93" s="1660"/>
      <c r="BD93" s="1660"/>
      <c r="BE93" s="1660"/>
      <c r="BF93" s="1660"/>
      <c r="BG93" s="1660"/>
      <c r="BH93" s="1660"/>
      <c r="BI93" s="1660"/>
      <c r="BJ93" s="1660"/>
      <c r="BK93" s="1660"/>
      <c r="BL93" s="1660"/>
      <c r="BM93" s="1660"/>
      <c r="BN93" s="1660"/>
      <c r="BO93" s="1660"/>
      <c r="BP93" s="1660"/>
      <c r="BQ93" s="1660"/>
      <c r="BR93" s="1660"/>
      <c r="BS93" s="1660"/>
      <c r="BT93" s="1660"/>
      <c r="BU93" s="1660"/>
      <c r="BV93" s="1660"/>
      <c r="BW93" s="1660"/>
      <c r="BX93" s="1660"/>
      <c r="BY93" s="1660"/>
      <c r="BZ93" s="1660"/>
      <c r="CA93" s="1660"/>
      <c r="CB93" s="1660"/>
      <c r="CC93" s="1660"/>
      <c r="CD93" s="1660"/>
      <c r="CE93" s="1660"/>
      <c r="CF93" s="1660"/>
      <c r="CG93" s="1660"/>
      <c r="CH93" s="1660"/>
      <c r="CI93" s="1660"/>
      <c r="CJ93" s="1660"/>
      <c r="CK93" s="1660"/>
      <c r="CL93" s="1660"/>
      <c r="CM93" s="1660"/>
      <c r="CN93" s="1660"/>
      <c r="CO93" s="1660"/>
    </row>
    <row customHeight="1" ht="18">
      <c r="O94" s="533"/>
      <c r="S94" s="1260"/>
      <c r="T94" s="2088"/>
      <c r="U94" s="2088"/>
      <c r="V94" s="2088"/>
      <c r="W94" s="2088"/>
      <c r="X94" s="2088"/>
      <c r="Y94" s="2088"/>
      <c r="Z94" s="2088"/>
      <c r="AA94" s="2088"/>
      <c r="AB94" s="2088"/>
      <c r="AC94" s="2088"/>
      <c r="AD94" s="2088"/>
      <c r="AE94" s="2088"/>
      <c r="AF94" s="2088"/>
      <c r="AG94" s="2088"/>
      <c r="AH94" s="2088"/>
      <c r="AI94" s="2088"/>
      <c r="AJ94" s="2088"/>
      <c r="AK94" s="2088"/>
      <c r="AL94" s="2215"/>
      <c r="AM94" s="2215"/>
      <c r="AN94" s="2215"/>
      <c r="AO94" s="2215"/>
      <c r="AP94" s="2215"/>
      <c r="AQ94" s="2215"/>
      <c r="AR94" s="2215"/>
      <c r="AS94" s="2215"/>
      <c r="AT94" s="2215"/>
      <c r="AU94" s="2215"/>
      <c r="AV94" s="2215"/>
      <c r="AW94" s="2215"/>
      <c r="AX94" s="2215"/>
      <c r="AY94" s="2215"/>
      <c r="AZ94" s="2215"/>
      <c r="BA94" s="2215"/>
      <c r="BB94" s="2215"/>
      <c r="BC94" s="2215"/>
      <c r="BD94" s="2215"/>
      <c r="BE94" s="2215"/>
      <c r="BF94" s="2215"/>
      <c r="BG94" s="2215"/>
      <c r="BH94" s="2215"/>
      <c r="BI94" s="2215"/>
      <c r="BJ94" s="2215"/>
      <c r="BK94" s="2215"/>
      <c r="BL94" s="2215"/>
      <c r="BM94" s="2215"/>
      <c r="BN94" s="2215"/>
      <c r="BO94" s="2215"/>
      <c r="BP94" s="2215"/>
      <c r="BQ94" s="2215"/>
      <c r="BR94" s="2215"/>
      <c r="BS94" s="2215"/>
      <c r="BT94" s="2215"/>
      <c r="BU94" s="2215"/>
      <c r="BV94" s="2215"/>
      <c r="BW94" s="2215"/>
      <c r="BX94" s="2215"/>
      <c r="BY94" s="2215"/>
      <c r="BZ94" s="2215"/>
      <c r="CA94" s="2215"/>
      <c r="CB94" s="2215"/>
      <c r="CC94" s="2215"/>
      <c r="CD94" s="2215"/>
      <c r="CE94" s="2215"/>
      <c r="CF94" s="2215"/>
      <c r="CG94" s="2215"/>
      <c r="CH94" s="2215"/>
      <c r="CI94" s="2215"/>
      <c r="CJ94" s="2215"/>
      <c r="CK94" s="2215"/>
      <c r="CL94" s="2215"/>
      <c r="CM94" s="2215"/>
      <c r="CN94" s="2215"/>
      <c r="CO94" s="2215"/>
      <c r="CP94" s="2088"/>
      <c r="CQ94" s="2088"/>
    </row>
    <row customHeight="1" ht="18">
      <c r="O95" s="533"/>
      <c r="T95" s="2088"/>
      <c r="U95" s="2088"/>
      <c r="V95" s="2088"/>
      <c r="W95" s="2088"/>
      <c r="X95" s="2088"/>
      <c r="Y95" s="2088"/>
      <c r="Z95" s="2088"/>
      <c r="AA95" s="2088"/>
      <c r="AB95" s="2088"/>
      <c r="AC95" s="2088"/>
      <c r="AD95" s="2088"/>
      <c r="AE95" s="2088"/>
      <c r="AF95" s="2088"/>
      <c r="AG95" s="2088"/>
      <c r="AH95" s="2088"/>
      <c r="AI95" s="2088"/>
      <c r="AJ95" s="2088"/>
      <c r="AK95" s="2088"/>
      <c r="AL95" s="2215"/>
      <c r="AM95" s="2215"/>
      <c r="AN95" s="2215"/>
      <c r="AO95" s="2215"/>
      <c r="AP95" s="2215"/>
      <c r="AQ95" s="2215"/>
      <c r="AR95" s="2215"/>
      <c r="AS95" s="2215"/>
      <c r="AT95" s="2215"/>
      <c r="AU95" s="2215"/>
      <c r="AV95" s="2215"/>
      <c r="AW95" s="2215"/>
      <c r="AX95" s="2215"/>
      <c r="AY95" s="2215"/>
      <c r="AZ95" s="2215"/>
      <c r="BA95" s="2215"/>
      <c r="BB95" s="2215"/>
      <c r="BC95" s="2215"/>
      <c r="BD95" s="2215"/>
      <c r="BE95" s="2215"/>
      <c r="BF95" s="2215"/>
      <c r="BG95" s="2215"/>
      <c r="BH95" s="2215"/>
      <c r="BI95" s="2215"/>
      <c r="BJ95" s="2215"/>
      <c r="BK95" s="2215"/>
      <c r="BL95" s="2215"/>
      <c r="BM95" s="2215"/>
      <c r="BN95" s="2215"/>
      <c r="BO95" s="2215"/>
      <c r="BP95" s="2215"/>
      <c r="BQ95" s="2215"/>
      <c r="BR95" s="2215"/>
      <c r="BS95" s="2215"/>
      <c r="BT95" s="2215"/>
      <c r="BU95" s="2215"/>
      <c r="BV95" s="2215"/>
      <c r="BW95" s="2215"/>
      <c r="BX95" s="2215"/>
      <c r="BY95" s="2215"/>
      <c r="BZ95" s="2215"/>
      <c r="CA95" s="2215"/>
      <c r="CB95" s="2215"/>
      <c r="CC95" s="2215"/>
      <c r="CD95" s="2215"/>
      <c r="CE95" s="2215"/>
      <c r="CF95" s="2215"/>
      <c r="CG95" s="2215"/>
      <c r="CH95" s="2215"/>
      <c r="CI95" s="2215"/>
      <c r="CJ95" s="2215"/>
      <c r="CK95" s="2215"/>
      <c r="CL95" s="2215"/>
      <c r="CM95" s="2215"/>
      <c r="CN95" s="2215"/>
      <c r="CO95" s="2215"/>
      <c r="CP95" s="2088"/>
      <c r="CQ95" s="2088"/>
    </row>
    <row customHeight="1" ht="27.75">
      <c r="O96" s="533"/>
      <c r="S96" s="1260"/>
      <c r="T96" s="2088"/>
      <c r="U96" s="2088"/>
      <c r="V96" s="2088"/>
      <c r="W96" s="2088"/>
      <c r="X96" s="2088"/>
      <c r="Y96" s="2088"/>
      <c r="Z96" s="2088"/>
      <c r="AA96" s="2088"/>
      <c r="AB96" s="2088"/>
      <c r="AC96" s="2088"/>
      <c r="AD96" s="2088"/>
      <c r="AE96" s="2088"/>
      <c r="AF96" s="2088"/>
      <c r="AG96" s="2088"/>
      <c r="AH96" s="2088"/>
      <c r="AI96" s="2088"/>
      <c r="AJ96" s="2088"/>
      <c r="AK96" s="2088"/>
      <c r="AL96" s="2215"/>
      <c r="AM96" s="2215"/>
      <c r="AN96" s="2215"/>
      <c r="AO96" s="2215"/>
      <c r="AP96" s="2215"/>
      <c r="AQ96" s="2215"/>
      <c r="AR96" s="2215"/>
      <c r="AS96" s="2215"/>
      <c r="AT96" s="2215"/>
      <c r="AU96" s="2215"/>
      <c r="AV96" s="2215"/>
      <c r="AW96" s="2215"/>
      <c r="AX96" s="2215"/>
      <c r="AY96" s="2215"/>
      <c r="AZ96" s="2215"/>
      <c r="BA96" s="2215"/>
      <c r="BB96" s="2215"/>
      <c r="BC96" s="2215"/>
      <c r="BD96" s="2215"/>
      <c r="BE96" s="2215"/>
      <c r="BF96" s="2215"/>
      <c r="BG96" s="2215"/>
      <c r="BH96" s="2215"/>
      <c r="BI96" s="2215"/>
      <c r="BJ96" s="2215"/>
      <c r="BK96" s="2215"/>
      <c r="BL96" s="2215"/>
      <c r="BM96" s="2215"/>
      <c r="BN96" s="2215"/>
      <c r="BO96" s="2215"/>
      <c r="BP96" s="2215"/>
      <c r="BQ96" s="2215"/>
      <c r="BR96" s="2215"/>
      <c r="BS96" s="2215"/>
      <c r="BT96" s="2215"/>
      <c r="BU96" s="2215"/>
      <c r="BV96" s="2215"/>
      <c r="BW96" s="2215"/>
      <c r="BX96" s="2215"/>
      <c r="BY96" s="2215"/>
      <c r="BZ96" s="2215"/>
      <c r="CA96" s="2215"/>
      <c r="CB96" s="2215"/>
      <c r="CC96" s="2215"/>
      <c r="CD96" s="2215"/>
      <c r="CE96" s="2215"/>
      <c r="CF96" s="2215"/>
      <c r="CG96" s="2215"/>
      <c r="CH96" s="2215"/>
      <c r="CI96" s="2215"/>
      <c r="CJ96" s="2215"/>
      <c r="CK96" s="2215"/>
      <c r="CL96" s="2215"/>
      <c r="CM96" s="2215"/>
      <c r="CN96" s="2215"/>
      <c r="CO96" s="2215"/>
      <c r="CP96" s="2088"/>
      <c r="CQ96" s="2088"/>
    </row>
  </sheetData>
  <sheetProtection formatColumns="0" formatRows="0" autoFilter="0" sort="0" insertRows="0" insertColumns="1" deleteRows="0" deleteColumns="0"/>
  <mergeCells count="431">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CP7"/>
    <mergeCell ref="V2:AC2"/>
    <mergeCell ref="AD2:CP2"/>
    <mergeCell ref="V3:AC3"/>
    <mergeCell ref="AD3:CP3"/>
    <mergeCell ref="V4:AC4"/>
    <mergeCell ref="AD4:CP4"/>
    <mergeCell ref="V5:AC5"/>
    <mergeCell ref="AD5:CP5"/>
    <mergeCell ref="V6:AC6"/>
    <mergeCell ref="AD6:CP6"/>
    <mergeCell ref="CQ8:CQ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CP38"/>
    <mergeCell ref="CQ38:CQ41"/>
    <mergeCell ref="S39:S41"/>
    <mergeCell ref="T39:T41"/>
    <mergeCell ref="V39:AB39"/>
    <mergeCell ref="AC39:AC41"/>
    <mergeCell ref="AD39:AJ39"/>
    <mergeCell ref="AK39:AK41"/>
    <mergeCell ref="CP39:CP41"/>
    <mergeCell ref="V40:V41"/>
    <mergeCell ref="W40:W41"/>
    <mergeCell ref="X40:Y40"/>
    <mergeCell ref="Z40:AB40"/>
    <mergeCell ref="AD40:AD41"/>
    <mergeCell ref="AE40:AE41"/>
    <mergeCell ref="AF40:AG40"/>
    <mergeCell ref="E43:E60"/>
    <mergeCell ref="V43:AC43"/>
    <mergeCell ref="AD43:CP43"/>
    <mergeCell ref="F44:F59"/>
    <mergeCell ref="V44:AC44"/>
    <mergeCell ref="AD44:CP44"/>
    <mergeCell ref="G45:G58"/>
    <mergeCell ref="V45:AC45"/>
    <mergeCell ref="AD45:CP45"/>
    <mergeCell ref="H46:H57"/>
    <mergeCell ref="V46:AC46"/>
    <mergeCell ref="AD46:CP46"/>
    <mergeCell ref="I47:I56"/>
    <mergeCell ref="P47:P56"/>
    <mergeCell ref="V47:AC47"/>
    <mergeCell ref="AD47:CP47"/>
    <mergeCell ref="T95:CQ95"/>
    <mergeCell ref="T96:CQ96"/>
    <mergeCell ref="T94:CQ94"/>
    <mergeCell ref="CQ49:CQ51"/>
    <mergeCell ref="T91:CQ91"/>
    <mergeCell ref="T92:CQ92"/>
    <mergeCell ref="J48:J51"/>
    <mergeCell ref="Q48:Q51"/>
    <mergeCell ref="V48:AC48"/>
    <mergeCell ref="AD48:CP48"/>
    <mergeCell ref="K49:K50"/>
    <mergeCell ref="AH49:AH50"/>
    <mergeCell ref="AI49:AI50"/>
    <mergeCell ref="AJ49:AJ50"/>
    <mergeCell ref="AK49:AK50"/>
    <mergeCell ref="E61:E74"/>
    <mergeCell ref="F62:F73"/>
    <mergeCell ref="G63:G72"/>
    <mergeCell ref="H64:H71"/>
    <mergeCell ref="I65:I70"/>
    <mergeCell ref="P65:P70"/>
    <mergeCell ref="J66:J69"/>
    <mergeCell ref="Q66:Q69"/>
    <mergeCell ref="K67:K68"/>
    <mergeCell ref="V66:AC66"/>
    <mergeCell ref="AD66:CP66"/>
    <mergeCell ref="V61:AC61"/>
    <mergeCell ref="AD61:CP61"/>
    <mergeCell ref="V62:AC62"/>
    <mergeCell ref="AD62:CP62"/>
    <mergeCell ref="V63:AC63"/>
    <mergeCell ref="AD63:CP63"/>
    <mergeCell ref="V64:AC64"/>
    <mergeCell ref="AD64:CP64"/>
    <mergeCell ref="V65:AC65"/>
    <mergeCell ref="AD65:CP65"/>
    <mergeCell ref="CQ67:CQ69"/>
    <mergeCell ref="AH67:AH68"/>
    <mergeCell ref="AI67:AI68"/>
    <mergeCell ref="AJ67:AJ68"/>
    <mergeCell ref="AK67:AK68"/>
    <mergeCell ref="E75:E88"/>
    <mergeCell ref="F76:F87"/>
    <mergeCell ref="G77:G86"/>
    <mergeCell ref="H78:H85"/>
    <mergeCell ref="I79:I84"/>
    <mergeCell ref="P79:P84"/>
    <mergeCell ref="J80:J83"/>
    <mergeCell ref="Q80:Q83"/>
    <mergeCell ref="K81:K82"/>
    <mergeCell ref="V80:AC80"/>
    <mergeCell ref="AD80:CP80"/>
    <mergeCell ref="V75:AC75"/>
    <mergeCell ref="AD75:CP75"/>
    <mergeCell ref="V76:AC76"/>
    <mergeCell ref="AD76:CP76"/>
    <mergeCell ref="V77:AC77"/>
    <mergeCell ref="AD77:CP77"/>
    <mergeCell ref="V78:AC78"/>
    <mergeCell ref="AD78:CP78"/>
    <mergeCell ref="V79:AC79"/>
    <mergeCell ref="AD79:CP79"/>
    <mergeCell ref="CQ81:CQ83"/>
    <mergeCell ref="AH81:AH82"/>
    <mergeCell ref="AI81:AI82"/>
    <mergeCell ref="AJ81:AJ82"/>
    <mergeCell ref="AK81:AK82"/>
    <mergeCell ref="J52:J55"/>
    <mergeCell ref="Q52:Q55"/>
    <mergeCell ref="K53:K54"/>
    <mergeCell ref="Z53:Z54"/>
    <mergeCell ref="AA53:AA54"/>
    <mergeCell ref="AB53:AB54"/>
    <mergeCell ref="AC53:AC54"/>
    <mergeCell ref="V52:AC52"/>
    <mergeCell ref="AD52:CP52"/>
    <mergeCell ref="CQ53:CQ55"/>
    <mergeCell ref="AH53:AH54"/>
    <mergeCell ref="AI53:AI54"/>
    <mergeCell ref="AJ53:AJ54"/>
    <mergeCell ref="AK53:AK54"/>
    <mergeCell ref="AL30:AR30"/>
    <mergeCell ref="AP8:AP9"/>
    <mergeCell ref="AQ8:AQ9"/>
    <mergeCell ref="AR8:AR9"/>
    <mergeCell ref="AS8:AS9"/>
    <mergeCell ref="AL29:AR29"/>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AP53:AP54"/>
    <mergeCell ref="AQ53:AQ54"/>
    <mergeCell ref="AR53:AR54"/>
    <mergeCell ref="AS53:AS54"/>
    <mergeCell ref="AP67:AP68"/>
    <mergeCell ref="AQ67:AQ68"/>
    <mergeCell ref="AR67:AR68"/>
    <mergeCell ref="AS67:AS68"/>
    <mergeCell ref="AP81:AP82"/>
    <mergeCell ref="AQ81:AQ82"/>
    <mergeCell ref="AR81:AR82"/>
    <mergeCell ref="AS81:AS82"/>
    <mergeCell ref="AT30:AZ30"/>
    <mergeCell ref="AX8:AX9"/>
    <mergeCell ref="AY8:AY9"/>
    <mergeCell ref="AZ8:AZ9"/>
    <mergeCell ref="BA8:BA9"/>
    <mergeCell ref="AT29:AZ29"/>
    <mergeCell ref="AT31:AZ31"/>
    <mergeCell ref="AT32:AZ32"/>
    <mergeCell ref="AT34:AZ34"/>
    <mergeCell ref="AT35:AZ35"/>
    <mergeCell ref="AT37:BA37"/>
    <mergeCell ref="AT39:AZ39"/>
    <mergeCell ref="BA39:BA41"/>
    <mergeCell ref="AT40:AT41"/>
    <mergeCell ref="AU40:AU41"/>
    <mergeCell ref="AV40:AW40"/>
    <mergeCell ref="AX40:AZ40"/>
    <mergeCell ref="AY41:AZ41"/>
    <mergeCell ref="AY42:AZ42"/>
    <mergeCell ref="AX49:AX50"/>
    <mergeCell ref="AY49:AY50"/>
    <mergeCell ref="AZ49:AZ50"/>
    <mergeCell ref="BA49:BA50"/>
    <mergeCell ref="AX53:AX54"/>
    <mergeCell ref="AY53:AY54"/>
    <mergeCell ref="AZ53:AZ54"/>
    <mergeCell ref="BA53:BA54"/>
    <mergeCell ref="AX67:AX68"/>
    <mergeCell ref="AY67:AY68"/>
    <mergeCell ref="AZ67:AZ68"/>
    <mergeCell ref="BA67:BA68"/>
    <mergeCell ref="BB30:BH30"/>
    <mergeCell ref="BF8:BF9"/>
    <mergeCell ref="BG8:BG9"/>
    <mergeCell ref="BH8:BH9"/>
    <mergeCell ref="BI8:BI9"/>
    <mergeCell ref="BB29:BH29"/>
    <mergeCell ref="BB31:BH31"/>
    <mergeCell ref="BB32:BH32"/>
    <mergeCell ref="BB34:BH34"/>
    <mergeCell ref="BB35:BH35"/>
    <mergeCell ref="BB37:BI37"/>
    <mergeCell ref="BB39:BH39"/>
    <mergeCell ref="BI39:BI41"/>
    <mergeCell ref="BB40:BB41"/>
    <mergeCell ref="BC40:BC41"/>
    <mergeCell ref="BD40:BE40"/>
    <mergeCell ref="BF40:BH40"/>
    <mergeCell ref="BG41:BH41"/>
    <mergeCell ref="BG42:BH42"/>
    <mergeCell ref="BF49:BF50"/>
    <mergeCell ref="BG49:BG50"/>
    <mergeCell ref="BH49:BH50"/>
    <mergeCell ref="BI49:BI50"/>
    <mergeCell ref="BF53:BF54"/>
    <mergeCell ref="BG53:BG54"/>
    <mergeCell ref="BH53:BH54"/>
    <mergeCell ref="BI53:BI54"/>
    <mergeCell ref="BF67:BF68"/>
    <mergeCell ref="BG67:BG68"/>
    <mergeCell ref="BH67:BH68"/>
    <mergeCell ref="BI67:BI68"/>
    <mergeCell ref="BJ30:BP30"/>
    <mergeCell ref="BN8:BN9"/>
    <mergeCell ref="BO8:BO9"/>
    <mergeCell ref="BP8:BP9"/>
    <mergeCell ref="BQ8:BQ9"/>
    <mergeCell ref="BJ29:BP29"/>
    <mergeCell ref="BJ31:BP31"/>
    <mergeCell ref="BJ32:BP32"/>
    <mergeCell ref="BJ34:BP34"/>
    <mergeCell ref="BJ35:BP35"/>
    <mergeCell ref="BJ37:BQ37"/>
    <mergeCell ref="BJ39:BP39"/>
    <mergeCell ref="BQ39:BQ41"/>
    <mergeCell ref="BJ40:BJ41"/>
    <mergeCell ref="BK40:BK41"/>
    <mergeCell ref="BL40:BM40"/>
    <mergeCell ref="BN40:BP40"/>
    <mergeCell ref="BO41:BP41"/>
    <mergeCell ref="BO42:BP42"/>
    <mergeCell ref="BN49:BN50"/>
    <mergeCell ref="BO49:BO50"/>
    <mergeCell ref="BP49:BP50"/>
    <mergeCell ref="BQ49:BQ50"/>
    <mergeCell ref="BN53:BN54"/>
    <mergeCell ref="BO53:BO54"/>
    <mergeCell ref="BP53:BP54"/>
    <mergeCell ref="BQ53:BQ54"/>
    <mergeCell ref="BN67:BN68"/>
    <mergeCell ref="BO67:BO68"/>
    <mergeCell ref="BP67:BP68"/>
    <mergeCell ref="BQ67:BQ68"/>
    <mergeCell ref="BR30:BX30"/>
    <mergeCell ref="BV8:BV9"/>
    <mergeCell ref="BW8:BW9"/>
    <mergeCell ref="BX8:BX9"/>
    <mergeCell ref="BY8:BY9"/>
    <mergeCell ref="BR29:BX29"/>
    <mergeCell ref="BR31:BX31"/>
    <mergeCell ref="BR32:BX32"/>
    <mergeCell ref="BR34:BX34"/>
    <mergeCell ref="BR35:BX35"/>
    <mergeCell ref="BR37:BY37"/>
    <mergeCell ref="BR39:BX39"/>
    <mergeCell ref="BY39:BY41"/>
    <mergeCell ref="BR40:BR41"/>
    <mergeCell ref="BS40:BS41"/>
    <mergeCell ref="BT40:BU40"/>
    <mergeCell ref="BV40:BX40"/>
    <mergeCell ref="BW41:BX41"/>
    <mergeCell ref="BW42:BX42"/>
    <mergeCell ref="BV49:BV50"/>
    <mergeCell ref="BW49:BW50"/>
    <mergeCell ref="BX49:BX50"/>
    <mergeCell ref="BY49:BY50"/>
    <mergeCell ref="BV53:BV54"/>
    <mergeCell ref="BW53:BW54"/>
    <mergeCell ref="BX53:BX54"/>
    <mergeCell ref="BY53:BY54"/>
    <mergeCell ref="BV67:BV68"/>
    <mergeCell ref="BW67:BW68"/>
    <mergeCell ref="BX67:BX68"/>
    <mergeCell ref="BY67:BY68"/>
    <mergeCell ref="BZ30:CF30"/>
    <mergeCell ref="CD8:CD9"/>
    <mergeCell ref="CE8:CE9"/>
    <mergeCell ref="CF8:CF9"/>
    <mergeCell ref="CG8:CG9"/>
    <mergeCell ref="BZ29:CF29"/>
    <mergeCell ref="BZ31:CF31"/>
    <mergeCell ref="BZ32:CF32"/>
    <mergeCell ref="BZ34:CF34"/>
    <mergeCell ref="BZ35:CF35"/>
    <mergeCell ref="BZ37:CG37"/>
    <mergeCell ref="BZ39:CF39"/>
    <mergeCell ref="CG39:CG41"/>
    <mergeCell ref="BZ40:BZ41"/>
    <mergeCell ref="CA40:CA41"/>
    <mergeCell ref="CB40:CC40"/>
    <mergeCell ref="CD40:CF40"/>
    <mergeCell ref="CE41:CF41"/>
    <mergeCell ref="CE42:CF42"/>
    <mergeCell ref="CD53:CD54"/>
    <mergeCell ref="CE53:CE54"/>
    <mergeCell ref="CF53:CF54"/>
    <mergeCell ref="CG53:CG54"/>
    <mergeCell ref="CD49:CD50"/>
    <mergeCell ref="CE49:CE50"/>
    <mergeCell ref="CF49:CF50"/>
    <mergeCell ref="CG49:CG50"/>
    <mergeCell ref="Z49:Z50"/>
    <mergeCell ref="AA49:AA50"/>
    <mergeCell ref="AB49:AB50"/>
    <mergeCell ref="AC49:AC50"/>
    <mergeCell ref="CH30:CN30"/>
    <mergeCell ref="CL8:CL9"/>
    <mergeCell ref="CM8:CM9"/>
    <mergeCell ref="CN8:CN9"/>
    <mergeCell ref="CO8:CO9"/>
    <mergeCell ref="CH29:CN29"/>
    <mergeCell ref="CH31:CN31"/>
    <mergeCell ref="CH32:CN32"/>
    <mergeCell ref="CH34:CN34"/>
    <mergeCell ref="CH35:CN35"/>
    <mergeCell ref="CH37:CO37"/>
    <mergeCell ref="CH39:CN39"/>
    <mergeCell ref="CO39:CO41"/>
    <mergeCell ref="CH40:CH41"/>
    <mergeCell ref="CI40:CI41"/>
    <mergeCell ref="CJ40:CK40"/>
    <mergeCell ref="CL40:CN40"/>
    <mergeCell ref="CM41:CN41"/>
    <mergeCell ref="CM42:CN42"/>
    <mergeCell ref="CL49:CL50"/>
    <mergeCell ref="CM49:CM50"/>
    <mergeCell ref="CN49:CN50"/>
    <mergeCell ref="CO49:CO50"/>
    <mergeCell ref="CL53:CL54"/>
    <mergeCell ref="CM53:CM54"/>
    <mergeCell ref="CN53:CN54"/>
    <mergeCell ref="CO53:CO54"/>
    <mergeCell ref="CD67:CD68"/>
    <mergeCell ref="CE67:CE68"/>
    <mergeCell ref="CF67:CF68"/>
    <mergeCell ref="CG67:CG68"/>
    <mergeCell ref="CL67:CL68"/>
    <mergeCell ref="CM67:CM68"/>
    <mergeCell ref="CN67:CN68"/>
    <mergeCell ref="CO67:CO68"/>
    <mergeCell ref="Z67:Z68"/>
    <mergeCell ref="AA67:AA68"/>
    <mergeCell ref="AB67:AB68"/>
    <mergeCell ref="AC67:AC68"/>
    <mergeCell ref="AX81:AX82"/>
    <mergeCell ref="AY81:AY82"/>
    <mergeCell ref="AZ81:AZ82"/>
    <mergeCell ref="BA81:BA82"/>
    <mergeCell ref="BF81:BF82"/>
    <mergeCell ref="BG81:BG82"/>
    <mergeCell ref="BH81:BH82"/>
    <mergeCell ref="BI81:BI82"/>
    <mergeCell ref="BN81:BN82"/>
    <mergeCell ref="BO81:BO82"/>
    <mergeCell ref="BP81:BP82"/>
    <mergeCell ref="BQ81:BQ82"/>
    <mergeCell ref="BV81:BV82"/>
    <mergeCell ref="BW81:BW82"/>
    <mergeCell ref="BX81:BX82"/>
    <mergeCell ref="BY81:BY82"/>
    <mergeCell ref="CD81:CD82"/>
    <mergeCell ref="CE81:CE82"/>
    <mergeCell ref="CF81:CF82"/>
    <mergeCell ref="CG81:CG82"/>
    <mergeCell ref="CL81:CL82"/>
    <mergeCell ref="CM81:CM82"/>
    <mergeCell ref="CN81:CN82"/>
    <mergeCell ref="CO81:CO82"/>
    <mergeCell ref="Z81:Z82"/>
    <mergeCell ref="AA81:AA82"/>
    <mergeCell ref="AB81:AB82"/>
    <mergeCell ref="AC81:AC82"/>
  </mergeCells>
  <dataValidations count="8">
    <dataValidation type="list" allowBlank="1" showInputMessage="1" errorTitle="Ошибка" error="Выберите значение из списка" prompt="Выберите значение из списка" sqref="V983120:CP983120 V65616:CP65616 V131152:CP131152 V196688:CP196688 V262224:CP262224 V327760:CP327760 V393296:CP393296 V458832:CP458832 V524368:CP524368 V589904:CP589904 V655440:CP655440 V720976:CP720976 V786512:CP786512 V852048:CP852048 V917584:CP917584">
      <formula1>kind_of_cons</formula1>
    </dataValidation>
    <dataValidation allowBlank="1" sqref="S131155:CQ131161 S196691:CQ196697 S262227:CQ262233 S327763:CQ327769 S393299:CQ393305 S458835:CQ458841 S524371:CQ524377 S589907:CQ589913 S655443:CQ655449 S720979:CQ720985 S786515:CQ786521 S852051:CQ852057 S917587:CQ917593 S983123:CQ983129 S65619:CQ65625"/>
    <dataValidation type="list" allowBlank="1" showInputMessage="1" showErrorMessage="1" errorTitle="Ошибка" error="Выберите значение из списка" sqref="V983119:W983119 V65615:W65615 V131151:W131151 V196687:W196687 V262223:W262223 V327759:W327759 V393295:W393295 V458831:W458831 V524367:W524367 V589903:W589903 V655439:W655439 V720975:W720975 V786511:W786511 V852047:W852047 V917583:W917583 AD983119:AE983119 AD65615:AE65615 AD131151:AE131151 AD196687:AE196687 AD262223:AE262223 AD327759:AE327759 AD393295:AE393295 AD458831:AE458831 AD524367:AE524367 AD589903:AE589903 AD655439:AE655439 AD720975:AE720975 AD786511:AE786511 AD852047:AE852047 AD917583:AE917583">
      <formula1>kind_of_scheme_in</formula1>
    </dataValidation>
    <dataValidation type="textLength" operator="lessThanOrEqual" allowBlank="1" showInputMessage="1" showErrorMessage="1" errorTitle="Ошибка" error="Допускается ввод не более 900 символов!" sqref="CQ65611:CQ65618 CQ131147:CQ131154 CQ196683:CQ196690 CQ262219:CQ262226 CQ327755:CQ327762 CQ393291:CQ393298 CQ458827:CQ458834 CQ524363:CQ524370 CQ589899:CQ589906 CQ655435:CQ655442 CQ720971:CQ720978 CQ786507:CQ786514 CQ852043:CQ852050 CQ917579:CQ917586 CQ983115:CQ983122">
      <formula1>900</formula1>
    </dataValidation>
    <dataValidation type="list" allowBlank="1" showInputMessage="1" showErrorMessage="1" errorTitle="Ошибка" error="Выберите значение из списка" sqref="T65617 T131153 T196689 T262225 T327761 T393297 T458833 T524369 T589905 T655441 T720977 T786513 T852049 T917585 T983121">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617 Z131153 Z196689 Z262225 Z327761 Z393297 Z458833 Z524369 Z589905 Z655441 Z720977 Z786513 Z852049 Z917585 Z983121 AB65617 AB131153 AB196689 AB262225 AB327761 AB393297 AB458833 AB524369 AB589905 AB655441 AB720977 AB786513 AB852049 AB917585 AB983121 Z8 AH65617 AH131153 AH196689 AH262225 AH327761 AH393297 AH458833 AH524369 AH589905 AH655441 AH720977 AH786513 AH852049 AH917585 AH983121 AJ65617 AJ131153 AJ196689 AJ262225 AJ327761 AJ393297 AJ458833 AJ524369 AJ589905 AJ655441 AJ720977 AJ786513 AJ852049 AJ917585 AJ983121 AJ49 AH49 AH8 AJ8 AB8 AH17 AJ17 Z49 AB49 Z67 AB67 AH67 AJ67 Z81 AB81 AH81 AJ81 Z53 AB53 AH53 AJ53 AP8 AR8 AP49 AR49 AP53 AR53 AP67 AR67 AP81 AR81 AX8 AZ8 AX49 AZ49 AX53 AZ53 AX67 AZ67 AX81 AZ81 BF8 BH8 BF49 BH49 BF53 BH53 BF67 BH67 BF81 BH81 BN8 BP8 BN49 BP49 BN53 BP53 BN67 BP67 BN81 BP81 BV8 BX8 BV49 BX49 BV53 BX53 BV67 BX67 BV81 BX81 CD8 CF8 CD49 CF49 CD53 CF53 CD67 CF67 CD81 CF81 CL8 CN8 CL49 CN49 CL53 CN53 CL67 CN67 CL81 CN81"/>
    <dataValidation allowBlank="1" showInputMessage="1" showErrorMessage="1" prompt="Для выбора выполните двойной щелчок левой клавиши мыши по соответствующей ячейке." sqref="AA65617 AA131153 AA196689 AA262225 AA327761 AA393297 AA458833 AA524369 AA589905 AA655441 AA720977 AA786513 AA852049 AA917585 AA983121 AC131153 AC458833 AC196689 AC262225 AC327761 AC393297 AC524369 AC589905 AC655441 AC720977 AC786513 AC852049 AC917585 AC983121 AC65617 AI65617 AI131153 AI196689 AI262225 AI327761 AI393297 AI458833 AI524369 AI589905 AI655441 AI720977 AI786513 AI852049 AI917585 AI983121 AK327761:CO327761 AK393297:CO393297 AK49 AQ49 AS49 AY49 BA49 BG49 BI49 BO49 BQ49 BW49 BY49 CE49 CG49 CM49 CO49 AK524369:CO524369 AK8 AQ8 AS8 AY8 BA8 BG8 BI8 BO8 BQ8 BW8 BY8 CE8 CG8 CM8 CO8 AK589905:CO589905 AK655441:CO655441 AK17 AK720977:CO720977 AK786513:CO786513 AK852049:CO852049 AK917585:CO917585 AK983121:CO983121 AK65617:CO65617 AK131153:CO131153 AI49 AK458833:CO458833 AI8 AC8 AA8 AI17 AK196689:CO196689 AA49 AC49 AK262225:CO262225 AA67 AC67 AI67 AK67 AQ67 AS67 AY67 BA67 BG67 BI67 BO67 BQ67 BW67 BY67 CE67 CG67 CM67 CO67 AA81 AC81 AI81 AK81 AQ81 AS81 AY81 BA81 BG81 BI81 BO81 BQ81 BW81 BY81 CE81 CG81 CM81 CO81 AA53 AC53 AI53 AK53 AQ53 AS53 AY53 BA53 BG53 BI53 BO53 BQ53 BW53 BY53 CE53 CG53 CM53 CO53"/>
    <dataValidation allowBlank="1" promptTitle="checkPeriodRange" sqref="Y65618 Y131154 Y196690 Y262226 Y327762 Y393298 Y458834 Y524370 Y589906 Y655442 Y720978 Y786514 Y852050 Y917586 Y983122 Y9 AG65618 AG131154 AG196690 AG262226 AG327762 AG393298 AG458834 AG524370 AG589906 AG655442 AG720978 AG786514 AG852050 AG917586 AG983122 AG9 AG50 AG18 Y50 Y68 AG68 Y82 AG82 Y54 AG54 AO9 AO50 AO54 AO68 AO82 AW9 AW50 AW54 AW68 AW82 BE9 BE50 BE54 BE68 BE82 BM9 BM50 BM54 BM68 BM82 BU9 BU50 BU54 BU68 BU82 CC9 CC50 CC54 CC68 CC82 CK9 CK50 CK54 CK68 CK82"/>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CEBE6E-5926-E837-6D41-F9FA12EB1E36}"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2.00390625" customWidth="1"/>
    <col min="21" max="21" style="1660" width="0.7109375" hidden="1" customWidth="1"/>
    <col min="22" max="22" style="1660" width="1.7109375" hidden="1" customWidth="1"/>
    <col min="23" max="23" style="1660" width="24.7109375" hidden="1" customWidth="1"/>
    <col min="24" max="25" style="1660" width="0.14062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0.140625" customWidth="1"/>
    <col min="31" max="31" style="1660" width="24.7109375" customWidth="1"/>
    <col min="32" max="33" style="1660" width="0.14062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122</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403</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404</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405</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406</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407</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408</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409</v>
      </c>
      <c r="AO5" s="496"/>
      <c r="AP5" s="496" t="str">
        <f>IF(T5="","",T5)</f>
        <v>Источник тепловой энергии  </v>
      </c>
      <c r="AQ5" s="496"/>
      <c r="AR5" s="496"/>
    </row>
    <row customHeight="1" ht="47.25" hidden="1">
      <c r="A6" s="1380"/>
      <c r="B6" s="1380"/>
      <c r="C6" s="1380"/>
      <c r="D6" s="1380"/>
      <c r="E6" s="2090"/>
      <c r="F6" s="2090"/>
      <c r="G6" s="2090"/>
      <c r="H6" s="2090"/>
      <c r="I6" s="2091">
        <f>S5&amp;".1"</f>
      </c>
      <c r="J6" s="1380"/>
      <c r="K6" s="1380"/>
      <c r="L6" s="1381" t="s">
        <v>410</v>
      </c>
      <c r="M6" s="533"/>
      <c r="P6" s="2093">
        <v>1</v>
      </c>
      <c r="Q6" s="1348"/>
      <c r="R6" s="344"/>
      <c r="S6" s="1353">
        <f>$I6</f>
      </c>
      <c r="T6" s="266" t="s">
        <v>411</v>
      </c>
      <c r="U6" s="280"/>
      <c r="V6" s="2077"/>
      <c r="W6" s="2078"/>
      <c r="X6" s="2078"/>
      <c r="Y6" s="2078"/>
      <c r="Z6" s="2078"/>
      <c r="AA6" s="2078"/>
      <c r="AB6" s="2078"/>
      <c r="AC6" s="2079"/>
      <c r="AD6" s="2077"/>
      <c r="AE6" s="2078"/>
      <c r="AF6" s="2078"/>
      <c r="AG6" s="2078"/>
      <c r="AH6" s="2078"/>
      <c r="AI6" s="2078"/>
      <c r="AJ6" s="2078"/>
      <c r="AK6" s="2078"/>
      <c r="AL6" s="2079"/>
      <c r="AM6" s="1273" t="s">
        <v>412</v>
      </c>
      <c r="AO6" s="496"/>
      <c r="AP6" s="496" t="str">
        <f>IF(T6="","",T6)</f>
        <v>Схема подключения теплопотребляющей установки к коллектору источника тепловой энергии</v>
      </c>
      <c r="AQ6" s="496"/>
      <c r="AR6" s="496"/>
    </row>
    <row customHeight="1" ht="21" hidden="1">
      <c r="A7" s="1380"/>
      <c r="B7" s="1380"/>
      <c r="C7" s="1380"/>
      <c r="D7" s="1380"/>
      <c r="E7" s="2090"/>
      <c r="F7" s="2090"/>
      <c r="G7" s="2090"/>
      <c r="H7" s="2090"/>
      <c r="I7" s="2092"/>
      <c r="J7" s="2091">
        <f>I6&amp;".1"</f>
      </c>
      <c r="K7" s="1380"/>
      <c r="L7" s="1381" t="s">
        <v>413</v>
      </c>
      <c r="M7" s="533"/>
      <c r="N7" s="1383"/>
      <c r="P7" s="2093"/>
      <c r="Q7" s="2093">
        <v>1</v>
      </c>
      <c r="R7" s="345"/>
      <c r="S7" s="1353">
        <f>$J7</f>
      </c>
      <c r="T7" s="267" t="s">
        <v>414</v>
      </c>
      <c r="U7" s="280"/>
      <c r="V7" s="2077"/>
      <c r="W7" s="2078"/>
      <c r="X7" s="2078"/>
      <c r="Y7" s="2078"/>
      <c r="Z7" s="2078"/>
      <c r="AA7" s="2078"/>
      <c r="AB7" s="2078"/>
      <c r="AC7" s="2079"/>
      <c r="AD7" s="2077"/>
      <c r="AE7" s="2078"/>
      <c r="AF7" s="2078"/>
      <c r="AG7" s="2078"/>
      <c r="AH7" s="2078"/>
      <c r="AI7" s="2078"/>
      <c r="AJ7" s="2078"/>
      <c r="AK7" s="2078"/>
      <c r="AL7" s="2079"/>
      <c r="AM7" s="1273" t="s">
        <v>415</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416</v>
      </c>
      <c r="M8" s="533"/>
      <c r="N8" s="1383"/>
      <c r="O8" s="1383"/>
      <c r="P8" s="2093"/>
      <c r="Q8" s="2093"/>
      <c r="R8" s="345">
        <v>1</v>
      </c>
      <c r="S8" s="1353">
        <f>$K8</f>
      </c>
      <c r="T8" s="1364"/>
      <c r="U8" s="280"/>
      <c r="V8" s="312"/>
      <c r="W8" s="746"/>
      <c r="X8" s="312"/>
      <c r="Y8" s="381"/>
      <c r="Z8" s="2094"/>
      <c r="AA8" s="1963" t="s">
        <v>66</v>
      </c>
      <c r="AB8" s="2094"/>
      <c r="AC8" s="1963" t="s">
        <v>66</v>
      </c>
      <c r="AD8" s="312"/>
      <c r="AE8" s="746"/>
      <c r="AF8" s="312"/>
      <c r="AG8" s="381"/>
      <c r="AH8" s="2094"/>
      <c r="AI8" s="1963" t="s">
        <v>66</v>
      </c>
      <c r="AJ8" s="2094"/>
      <c r="AK8" s="1963" t="s">
        <v>66</v>
      </c>
      <c r="AL8" s="312"/>
      <c r="AM8" s="2119" t="s">
        <v>417</v>
      </c>
      <c r="AN8" s="507">
        <f>STRCHECKDATE(V9:AL9)</f>
      </c>
      <c r="AO8" s="496"/>
      <c r="AP8" s="496" t="str">
        <f>IF(T8="","",T8)</f>
        <v/>
      </c>
      <c r="AQ8" s="496"/>
      <c r="AR8" s="496"/>
    </row>
    <row customHeight="1" ht="0.7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9" t="s">
        <v>418</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5" hidden="1">
      <c r="A11" s="1380"/>
      <c r="B11" s="1380"/>
      <c r="C11" s="1380"/>
      <c r="D11" s="1380"/>
      <c r="E11" s="2090"/>
      <c r="F11" s="2090"/>
      <c r="G11" s="2090"/>
      <c r="H11" s="2090"/>
      <c r="I11" s="2091"/>
      <c r="J11" s="1380"/>
      <c r="K11" s="1380"/>
      <c r="L11" s="1381"/>
      <c r="M11" s="533"/>
      <c r="P11" s="2093"/>
      <c r="Q11" s="1348"/>
      <c r="R11" s="344"/>
      <c r="S11" s="1295"/>
      <c r="T11" s="268" t="s">
        <v>419</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295"/>
      <c r="T12" s="356" t="s">
        <v>420</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166</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167</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168</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66</v>
      </c>
      <c r="AJ17" s="2087"/>
      <c r="AK17" s="2086" t="s">
        <v>66</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421</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33.75" hidden="1">
      <c r="L22" s="1346"/>
      <c r="M22" s="1379"/>
      <c r="N22" s="1379"/>
      <c r="O22" s="1381" t="s">
        <v>422</v>
      </c>
      <c r="P22" s="1379"/>
      <c r="Q22" s="1388"/>
      <c r="R22" s="1388"/>
      <c r="S22" s="724"/>
      <c r="T22" s="1155" t="s">
        <v>423</v>
      </c>
      <c r="AA22" s="166" t="s">
        <v>424</v>
      </c>
      <c r="AC22" s="166" t="s">
        <v>425</v>
      </c>
      <c r="AD22" s="1155" t="s">
        <v>423</v>
      </c>
      <c r="AI22" s="166" t="s">
        <v>426</v>
      </c>
      <c r="AK22" s="166" t="s">
        <v>425</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27.75">
      <c r="Q26" s="368"/>
      <c r="R26" s="368"/>
      <c r="S26" s="212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ООО "ПРОМ ИМПУЛЬС"</v>
      </c>
      <c r="T27" s="2123"/>
      <c r="U27" s="2123"/>
      <c r="V27" s="2123"/>
      <c r="W27" s="2123"/>
      <c r="X27" s="2123"/>
      <c r="Y27" s="2123"/>
      <c r="Z27" s="2123"/>
      <c r="AA27" s="2123"/>
      <c r="AB27" s="2123"/>
      <c r="AC27" s="2123"/>
      <c r="AD27" s="2123"/>
      <c r="AE27" s="2123"/>
      <c r="AF27" s="2123"/>
      <c r="AG27" s="2123"/>
      <c r="AH27" s="2123"/>
      <c r="AI27" s="2123"/>
      <c r="AJ27" s="2123"/>
      <c r="AK27" s="1248"/>
    </row>
    <row customHeight="1" ht="14.25">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Комитет по тарифам Санкт-Петербурга</v>
      </c>
      <c r="W29" s="2082"/>
      <c r="X29" s="2082"/>
      <c r="Y29" s="2082"/>
      <c r="Z29" s="2082"/>
      <c r="AA29" s="2082"/>
      <c r="AB29" s="2082"/>
      <c r="AC29" s="314"/>
      <c r="AD29" s="2082" t="str">
        <f>IF(TITLE_NAME_OR_PR_CHANGE="",IF(TITLE_NAME_OR_PR="","",TITLE_NAME_OR_PR),TITLE_NAME_OR_PR_CHANGE)</f>
        <v>Комитет по тарифам Санкт-Петербурга</v>
      </c>
      <c r="AE29" s="2082"/>
      <c r="AF29" s="2082"/>
      <c r="AG29" s="2082"/>
      <c r="AH29" s="2082"/>
      <c r="AI29" s="2082"/>
      <c r="AJ29" s="2082"/>
      <c r="AK29" s="314"/>
      <c r="AL29" s="314"/>
      <c r="AM29" s="261"/>
      <c r="AN29" s="360"/>
      <c r="AO29" s="360"/>
      <c r="AP29" s="360"/>
      <c r="AQ29" s="360"/>
      <c r="AR29" s="360"/>
    </row>
    <row s="1877" customFormat="1" customHeight="1" ht="18.75">
      <c r="A30" s="1385"/>
      <c r="B30" s="1385"/>
      <c r="C30" s="1385"/>
      <c r="D30" s="1385"/>
      <c r="E30" s="1385"/>
      <c r="F30" s="1385"/>
      <c r="G30" s="1385"/>
      <c r="H30" s="1385"/>
      <c r="I30" s="1385"/>
      <c r="J30" s="1385"/>
      <c r="K30" s="1385"/>
      <c r="L30" s="1386"/>
      <c r="M30" s="1385"/>
      <c r="N30" s="1385"/>
      <c r="O30" s="1385"/>
      <c r="S30" s="2080" t="s">
        <v>427</v>
      </c>
      <c r="T30" s="2080"/>
      <c r="U30" s="1389"/>
      <c r="V30" s="2081" t="str">
        <f>IF(TITLE_DATE_PR_CHANGE="",IF(TITLE_DATE_PR="","",TITLE_DATE_PR),TITLE_DATE_PR_CHANGE)</f>
        <v>45268.58207175926</v>
      </c>
      <c r="W30" s="2081"/>
      <c r="X30" s="2081"/>
      <c r="Y30" s="2081"/>
      <c r="Z30" s="2081"/>
      <c r="AA30" s="2081"/>
      <c r="AB30" s="2081"/>
      <c r="AC30" s="314"/>
      <c r="AD30" s="2081" t="str">
        <f>IF(TITLE_DATE_PR_CHANGE="",IF(TITLE_DATE_PR="","",TITLE_DATE_PR),TITLE_DATE_PR_CHANGE)</f>
        <v>45268.58207175926</v>
      </c>
      <c r="AE30" s="2081"/>
      <c r="AF30" s="2081"/>
      <c r="AG30" s="2081"/>
      <c r="AH30" s="2081"/>
      <c r="AI30" s="2081"/>
      <c r="AJ30" s="2081"/>
      <c r="AK30" s="314"/>
      <c r="AL30" s="314"/>
      <c r="AM30" s="261"/>
      <c r="AN30" s="360"/>
      <c r="AO30" s="360"/>
      <c r="AP30" s="360"/>
      <c r="AQ30" s="360"/>
      <c r="AR30" s="360"/>
    </row>
    <row s="1877" customFormat="1" customHeight="1" ht="18.75">
      <c r="A31" s="1385"/>
      <c r="B31" s="1385"/>
      <c r="C31" s="1385"/>
      <c r="D31" s="1385"/>
      <c r="E31" s="1385"/>
      <c r="F31" s="1385"/>
      <c r="G31" s="1385"/>
      <c r="H31" s="1385"/>
      <c r="I31" s="1385"/>
      <c r="J31" s="1385"/>
      <c r="K31" s="1385"/>
      <c r="L31" s="1386"/>
      <c r="M31" s="1385"/>
      <c r="N31" s="1385"/>
      <c r="O31" s="1385"/>
      <c r="S31" s="2080" t="s">
        <v>428</v>
      </c>
      <c r="T31" s="2080"/>
      <c r="U31" s="1389"/>
      <c r="V31" s="2082" t="str">
        <f>IF(TITLE_NUMBER_PR_CHANGE="",IF(TITLE_NUMBER_PR="","",TITLE_NUMBER_PR),TITLE_NUMBER_PR_CHANGE)</f>
        <v>237-р</v>
      </c>
      <c r="W31" s="2082"/>
      <c r="X31" s="2082"/>
      <c r="Y31" s="2082"/>
      <c r="Z31" s="2082"/>
      <c r="AA31" s="2082"/>
      <c r="AB31" s="2082"/>
      <c r="AC31" s="314"/>
      <c r="AD31" s="2082" t="str">
        <f>IF(TITLE_NUMBER_PR_CHANGE="",IF(TITLE_NUMBER_PR="","",TITLE_NUMBER_PR),TITLE_NUMBER_PR_CHANGE)</f>
        <v>237-р</v>
      </c>
      <c r="AE31" s="2082"/>
      <c r="AF31" s="2082"/>
      <c r="AG31" s="2082"/>
      <c r="AH31" s="2082"/>
      <c r="AI31" s="2082"/>
      <c r="AJ31" s="2082"/>
      <c r="AK31" s="314"/>
      <c r="AL31" s="314"/>
      <c r="AM31" s="261"/>
      <c r="AN31" s="360"/>
      <c r="AO31" s="360"/>
      <c r="AP31" s="360"/>
      <c r="AQ31" s="360"/>
      <c r="AR31" s="360"/>
    </row>
    <row s="1877" customFormat="1" customHeight="1" ht="18.75">
      <c r="A32" s="1385"/>
      <c r="B32" s="1385"/>
      <c r="C32" s="1385"/>
      <c r="D32" s="1385"/>
      <c r="E32" s="1385"/>
      <c r="F32" s="1385"/>
      <c r="G32" s="1385"/>
      <c r="H32" s="1385"/>
      <c r="I32" s="1385"/>
      <c r="J32" s="1385"/>
      <c r="K32" s="1385"/>
      <c r="L32" s="1386"/>
      <c r="M32" s="1385"/>
      <c r="N32" s="1385"/>
      <c r="O32" s="1385"/>
      <c r="S32" s="2080" t="s">
        <v>40</v>
      </c>
      <c r="T32" s="2080"/>
      <c r="U32" s="1389"/>
      <c r="V32" s="2082" t="str">
        <f>IF(TITLE_IST_PUB_CHANGE="",IF(TITLE_IST_PUB="","",TITLE_IST_PUB),TITLE_IST_PUB_CHANGE)</f>
        <v>https://www.gov.spb.ru/gov/otrasl/energ_kom/inform_/standarty-raskrytiya-informacii-komitetom/teplo/</v>
      </c>
      <c r="W32" s="2082"/>
      <c r="X32" s="2082"/>
      <c r="Y32" s="2082"/>
      <c r="Z32" s="2082"/>
      <c r="AA32" s="2082"/>
      <c r="AB32" s="2082"/>
      <c r="AC32" s="314"/>
      <c r="AD32" s="2082" t="str">
        <f>IF(TITLE_IST_PUB_CHANGE="",IF(TITLE_IST_PUB="","",TITLE_IST_PUB),TITLE_IST_PUB_CHANGE)</f>
        <v>https://www.gov.spb.ru/gov/otrasl/energ_kom/inform_/standarty-raskrytiya-informacii-komitetom/teplo/</v>
      </c>
      <c r="AE32" s="2082"/>
      <c r="AF32" s="2082"/>
      <c r="AG32" s="2082"/>
      <c r="AH32" s="2082"/>
      <c r="AI32" s="2082"/>
      <c r="AJ32" s="2082"/>
      <c r="AK32" s="314"/>
      <c r="AL32" s="314"/>
      <c r="AM32" s="261"/>
      <c r="AN32" s="360"/>
      <c r="AO32" s="360"/>
      <c r="AP32" s="360"/>
      <c r="AQ32" s="360"/>
      <c r="AR32" s="360"/>
    </row>
    <row customHeight="1" ht="14.25" hidden="1">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hidden="1">
      <c r="A34" s="1385"/>
      <c r="B34" s="1385"/>
      <c r="C34" s="1385"/>
      <c r="D34" s="1385"/>
      <c r="E34" s="1385"/>
      <c r="F34" s="1385"/>
      <c r="G34" s="1385"/>
      <c r="H34" s="1385"/>
      <c r="I34" s="1385"/>
      <c r="J34" s="1385"/>
      <c r="K34" s="1385"/>
      <c r="L34" s="1386"/>
      <c r="M34" s="1385"/>
      <c r="N34" s="1385"/>
      <c r="O34" s="1385"/>
      <c r="S34" s="2080" t="s">
        <v>429</v>
      </c>
      <c r="T34" s="2080"/>
      <c r="U34" s="1389"/>
      <c r="V34" s="2081" t="str">
        <f>IF(TITLE_DATE_PR_CHANGE="",IF(TITLE_DATE_PR="","",TITLE_DATE_PR),TITLE_DATE_PR_CHANGE)</f>
        <v>45268.58207175926</v>
      </c>
      <c r="W34" s="2081"/>
      <c r="X34" s="2081"/>
      <c r="Y34" s="2081"/>
      <c r="Z34" s="2081"/>
      <c r="AA34" s="2081"/>
      <c r="AB34" s="2081"/>
      <c r="AC34" s="314"/>
      <c r="AD34" s="2081" t="str">
        <f>IF(TITLE_DATE_PR_CHANGE="",IF(TITLE_DATE_PR="","",TITLE_DATE_PR),TITLE_DATE_PR_CHANGE)</f>
        <v>45268.58207175926</v>
      </c>
      <c r="AE34" s="2081"/>
      <c r="AF34" s="2081"/>
      <c r="AG34" s="2081"/>
      <c r="AH34" s="2081"/>
      <c r="AI34" s="2081"/>
      <c r="AJ34" s="2081"/>
      <c r="AK34" s="314"/>
      <c r="AL34" s="314"/>
      <c r="AM34" s="261"/>
      <c r="AN34" s="360"/>
      <c r="AO34" s="360"/>
      <c r="AP34" s="360"/>
      <c r="AQ34" s="360"/>
      <c r="AR34" s="360"/>
    </row>
    <row s="1877" customFormat="1" customHeight="1" ht="18.75" hidden="1">
      <c r="A35" s="1385"/>
      <c r="B35" s="1385"/>
      <c r="C35" s="1385"/>
      <c r="D35" s="1385"/>
      <c r="E35" s="1385"/>
      <c r="F35" s="1385"/>
      <c r="G35" s="1385"/>
      <c r="H35" s="1385"/>
      <c r="I35" s="1385"/>
      <c r="J35" s="1385"/>
      <c r="K35" s="1385"/>
      <c r="L35" s="1386"/>
      <c r="M35" s="1385"/>
      <c r="N35" s="1385"/>
      <c r="O35" s="1385"/>
      <c r="S35" s="2080" t="s">
        <v>430</v>
      </c>
      <c r="T35" s="2080"/>
      <c r="U35" s="1389"/>
      <c r="V35" s="2082" t="str">
        <f>IF(TITLE_NUMBER_PR_CHANGE="",IF(TITLE_NUMBER_PR="","",TITLE_NUMBER_PR),TITLE_NUMBER_PR_CHANGE)</f>
        <v>237-р</v>
      </c>
      <c r="W35" s="2082"/>
      <c r="X35" s="2082"/>
      <c r="Y35" s="2082"/>
      <c r="Z35" s="2082"/>
      <c r="AA35" s="2082"/>
      <c r="AB35" s="2082"/>
      <c r="AC35" s="314"/>
      <c r="AD35" s="2082" t="str">
        <f>IF(TITLE_NUMBER_PR_CHANGE="",IF(TITLE_NUMBER_PR="","",TITLE_NUMBER_PR),TITLE_NUMBER_PR_CHANGE)</f>
        <v>237-р</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431</v>
      </c>
      <c r="AD36" s="314"/>
      <c r="AE36" s="314"/>
      <c r="AF36" s="314"/>
      <c r="AG36" s="314"/>
      <c r="AH36" s="314"/>
      <c r="AI36" s="314"/>
      <c r="AJ36" s="314"/>
      <c r="AK36" s="259" t="s">
        <v>431</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305</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306</v>
      </c>
    </row>
    <row customHeight="1" ht="14.25">
      <c r="Q39" s="368"/>
      <c r="R39" s="368"/>
      <c r="S39" s="2107" t="s">
        <v>87</v>
      </c>
      <c r="T39" s="2044" t="s">
        <v>432</v>
      </c>
      <c r="U39" s="281"/>
      <c r="V39" s="2108" t="s">
        <v>433</v>
      </c>
      <c r="W39" s="2109"/>
      <c r="X39" s="2128"/>
      <c r="Y39" s="2128"/>
      <c r="Z39" s="2109"/>
      <c r="AA39" s="2109"/>
      <c r="AB39" s="2110"/>
      <c r="AC39" s="2111" t="s">
        <v>434</v>
      </c>
      <c r="AD39" s="2108" t="s">
        <v>433</v>
      </c>
      <c r="AE39" s="2109"/>
      <c r="AF39" s="2128"/>
      <c r="AG39" s="2128"/>
      <c r="AH39" s="2109"/>
      <c r="AI39" s="2109"/>
      <c r="AJ39" s="2110"/>
      <c r="AK39" s="2111" t="s">
        <v>435</v>
      </c>
      <c r="AL39" s="2114" t="s">
        <v>436</v>
      </c>
      <c r="AM39" s="1953"/>
    </row>
    <row customHeight="1" ht="23.25">
      <c r="Q40" s="368"/>
      <c r="R40" s="368"/>
      <c r="S40" s="2107"/>
      <c r="T40" s="2044"/>
      <c r="U40" s="1026"/>
      <c r="V40" s="2124" t="s">
        <v>437</v>
      </c>
      <c r="W40" s="2126" t="s">
        <v>438</v>
      </c>
      <c r="X40" s="1393" t="s">
        <v>439</v>
      </c>
      <c r="Y40" s="1393"/>
      <c r="Z40" s="2101" t="s">
        <v>440</v>
      </c>
      <c r="AA40" s="2101"/>
      <c r="AB40" s="2102"/>
      <c r="AC40" s="2112"/>
      <c r="AD40" s="2124" t="s">
        <v>437</v>
      </c>
      <c r="AE40" s="2126" t="s">
        <v>438</v>
      </c>
      <c r="AF40" s="1393" t="s">
        <v>439</v>
      </c>
      <c r="AG40" s="1393"/>
      <c r="AH40" s="2101" t="s">
        <v>440</v>
      </c>
      <c r="AI40" s="2101"/>
      <c r="AJ40" s="2102"/>
      <c r="AK40" s="2112"/>
      <c r="AL40" s="2115"/>
      <c r="AM40" s="1953"/>
    </row>
    <row s="1282" customFormat="1" customHeight="1" ht="23.25">
      <c r="A41" s="1387"/>
      <c r="B41" s="1387" t="s">
        <v>134</v>
      </c>
      <c r="C41" s="1387" t="s">
        <v>135</v>
      </c>
      <c r="D41" s="1387" t="s">
        <v>136</v>
      </c>
      <c r="E41" s="1381" t="s">
        <v>441</v>
      </c>
      <c r="F41" s="1381" t="s">
        <v>442</v>
      </c>
      <c r="G41" s="1381" t="s">
        <v>443</v>
      </c>
      <c r="H41" s="1381" t="s">
        <v>444</v>
      </c>
      <c r="I41" s="1381" t="s">
        <v>445</v>
      </c>
      <c r="J41" s="1381" t="s">
        <v>446</v>
      </c>
      <c r="K41" s="1381" t="s">
        <v>447</v>
      </c>
      <c r="L41" s="1381" t="s">
        <v>422</v>
      </c>
      <c r="M41" s="1379"/>
      <c r="N41" s="1379"/>
      <c r="O41" s="1379"/>
      <c r="P41" s="1345"/>
      <c r="Q41" s="368"/>
      <c r="R41" s="368"/>
      <c r="S41" s="2107"/>
      <c r="T41" s="2044"/>
      <c r="U41" s="282"/>
      <c r="V41" s="2125"/>
      <c r="W41" s="2127"/>
      <c r="X41" s="1390" t="s">
        <v>448</v>
      </c>
      <c r="Y41" s="1390" t="s">
        <v>449</v>
      </c>
      <c r="Z41" s="1351" t="s">
        <v>450</v>
      </c>
      <c r="AA41" s="2103" t="s">
        <v>451</v>
      </c>
      <c r="AB41" s="2104"/>
      <c r="AC41" s="2113"/>
      <c r="AD41" s="2125"/>
      <c r="AE41" s="2127"/>
      <c r="AF41" s="1390" t="s">
        <v>448</v>
      </c>
      <c r="AG41" s="1390" t="s">
        <v>449</v>
      </c>
      <c r="AH41" s="1351" t="s">
        <v>450</v>
      </c>
      <c r="AI41" s="2103" t="s">
        <v>451</v>
      </c>
      <c r="AJ41" s="2104"/>
      <c r="AK41" s="2113"/>
      <c r="AL41" s="2116"/>
      <c r="AM41" s="1953"/>
      <c r="AN41" s="507"/>
      <c r="AO41" s="496"/>
      <c r="AP41" s="496"/>
      <c r="AQ41" s="496"/>
      <c r="AR41" s="496"/>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108</v>
      </c>
      <c r="T42" s="1268" t="s">
        <v>109</v>
      </c>
      <c r="U42" s="1250" t="str">
        <f>OFFSET(U42,0,-1)</f>
        <v>2</v>
      </c>
      <c r="V42" s="1352">
        <f>OFFSET(V42,0,-1)+1</f>
        <v>3</v>
      </c>
      <c r="W42" s="1352"/>
      <c r="X42" s="1358">
        <f>OFFSET(X42,0,-1)+1</f>
        <v>1</v>
      </c>
      <c r="Y42" s="1358">
        <f>OFFSET(Y42,0,-1)+1</f>
        <v>2</v>
      </c>
      <c r="Z42" s="1352">
        <f>OFFSET(Z42,0,-1)+1</f>
        <v>3</v>
      </c>
      <c r="AA42" s="2105">
        <f>OFFSET(AA42,0,-1)+1</f>
        <v>4</v>
      </c>
      <c r="AB42" s="2105"/>
      <c r="AC42" s="1352">
        <f>OFFSET(AC42,0,-2)+1</f>
        <v>5</v>
      </c>
      <c r="AD42" s="1352">
        <f>OFFSET(AD42,0,-1)+1</f>
        <v>6</v>
      </c>
      <c r="AE42" s="1352"/>
      <c r="AF42" s="1358">
        <f>OFFSET(AF42,0,-1)+1</f>
        <v>1</v>
      </c>
      <c r="AG42" s="1358">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211</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122</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6"/>
      <c r="AP43" s="496" t="str">
        <f>IF(T43="","",T43)</f>
        <v>Наименование тарифа</v>
      </c>
      <c r="AQ43" s="496"/>
      <c r="AR43" s="496"/>
    </row>
    <row customHeight="1" ht="21">
      <c r="A44" s="1380" t="s">
        <v>211</v>
      </c>
      <c r="B44" s="1380" t="s">
        <v>212</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404</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405</v>
      </c>
      <c r="AO44" s="496"/>
      <c r="AP44" s="496" t="str">
        <f>IF(T44="","",T44)</f>
        <v>Территория действия тарифа</v>
      </c>
      <c r="AQ44" s="496"/>
      <c r="AR44" s="496"/>
    </row>
    <row customHeight="1" ht="23.25">
      <c r="A45" s="1380" t="s">
        <v>211</v>
      </c>
      <c r="B45" s="1380" t="s">
        <v>212</v>
      </c>
      <c r="C45" s="1380" t="s">
        <v>213</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406</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407</v>
      </c>
      <c r="AO45" s="496"/>
      <c r="AP45" s="496" t="str">
        <f>IF(T45="","",T45)</f>
        <v>Наименование системы теплоснабжения </v>
      </c>
      <c r="AQ45" s="496"/>
      <c r="AR45" s="496"/>
    </row>
    <row customHeight="1" ht="21">
      <c r="A46" s="1380" t="s">
        <v>211</v>
      </c>
      <c r="B46" s="1380" t="s">
        <v>212</v>
      </c>
      <c r="C46" s="1380" t="s">
        <v>213</v>
      </c>
      <c r="D46" s="1380" t="s">
        <v>214</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408</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409</v>
      </c>
      <c r="AO46" s="496"/>
      <c r="AP46" s="496" t="str">
        <f>IF(T46="","",T46)</f>
        <v>Источник тепловой энергии  </v>
      </c>
      <c r="AQ46" s="496"/>
      <c r="AR46" s="496"/>
    </row>
    <row customHeight="1" ht="47.25">
      <c r="A47" s="1380" t="s">
        <v>211</v>
      </c>
      <c r="B47" s="1380" t="s">
        <v>212</v>
      </c>
      <c r="C47" s="1380" t="s">
        <v>213</v>
      </c>
      <c r="D47" s="1380" t="s">
        <v>214</v>
      </c>
      <c r="E47" s="2090"/>
      <c r="F47" s="2090"/>
      <c r="G47" s="2090"/>
      <c r="H47" s="2090"/>
      <c r="I47" s="2091" t="str">
        <f>S46&amp;".1"</f>
        <v>....1</v>
      </c>
      <c r="J47" s="1380"/>
      <c r="K47" s="1380"/>
      <c r="L47" s="1381" t="s">
        <v>410</v>
      </c>
      <c r="P47" s="2093">
        <v>1</v>
      </c>
      <c r="Q47" s="1348"/>
      <c r="R47" s="344"/>
      <c r="S47" s="1353" t="str">
        <f>$I47</f>
        <v>....1</v>
      </c>
      <c r="T47" s="266" t="s">
        <v>411</v>
      </c>
      <c r="U47" s="280"/>
      <c r="V47" s="2077"/>
      <c r="W47" s="2078"/>
      <c r="X47" s="2078"/>
      <c r="Y47" s="2078"/>
      <c r="Z47" s="2078"/>
      <c r="AA47" s="2078"/>
      <c r="AB47" s="2078"/>
      <c r="AC47" s="2079"/>
      <c r="AD47" s="2077"/>
      <c r="AE47" s="2078"/>
      <c r="AF47" s="2078"/>
      <c r="AG47" s="2078"/>
      <c r="AH47" s="2078"/>
      <c r="AI47" s="2078"/>
      <c r="AJ47" s="2078"/>
      <c r="AK47" s="2078"/>
      <c r="AL47" s="2079"/>
      <c r="AM47" s="1273" t="s">
        <v>412</v>
      </c>
      <c r="AO47" s="496"/>
      <c r="AP47" s="496" t="str">
        <f>IF(T47="","",T47)</f>
        <v>Схема подключения теплопотребляющей установки к коллектору источника тепловой энергии</v>
      </c>
      <c r="AQ47" s="496"/>
      <c r="AR47" s="496"/>
    </row>
    <row customHeight="1" ht="21">
      <c r="A48" s="1380" t="s">
        <v>211</v>
      </c>
      <c r="B48" s="1380" t="s">
        <v>212</v>
      </c>
      <c r="C48" s="1380" t="s">
        <v>213</v>
      </c>
      <c r="D48" s="1380" t="s">
        <v>214</v>
      </c>
      <c r="E48" s="2090"/>
      <c r="F48" s="2090"/>
      <c r="G48" s="2090"/>
      <c r="H48" s="2090"/>
      <c r="I48" s="2092"/>
      <c r="J48" s="2091" t="str">
        <f>I47&amp;".1"</f>
        <v>....1.1</v>
      </c>
      <c r="K48" s="1380"/>
      <c r="L48" s="1381" t="s">
        <v>413</v>
      </c>
      <c r="P48" s="2093"/>
      <c r="Q48" s="2093">
        <v>1</v>
      </c>
      <c r="R48" s="345"/>
      <c r="S48" s="1353" t="str">
        <f>$J48</f>
        <v>....1.1</v>
      </c>
      <c r="T48" s="267" t="s">
        <v>414</v>
      </c>
      <c r="U48" s="280"/>
      <c r="V48" s="2077"/>
      <c r="W48" s="2078"/>
      <c r="X48" s="2078"/>
      <c r="Y48" s="2078"/>
      <c r="Z48" s="2078"/>
      <c r="AA48" s="2078"/>
      <c r="AB48" s="2078"/>
      <c r="AC48" s="2079"/>
      <c r="AD48" s="2077"/>
      <c r="AE48" s="2078"/>
      <c r="AF48" s="2078"/>
      <c r="AG48" s="2078"/>
      <c r="AH48" s="2078"/>
      <c r="AI48" s="2078"/>
      <c r="AJ48" s="2078"/>
      <c r="AK48" s="2078"/>
      <c r="AL48" s="2079"/>
      <c r="AM48" s="1273" t="s">
        <v>415</v>
      </c>
      <c r="AO48" s="496"/>
      <c r="AP48" s="496" t="str">
        <f>IF(T48="","",T48)</f>
        <v>Группа потребителей</v>
      </c>
      <c r="AQ48" s="496"/>
      <c r="AR48" s="496"/>
    </row>
    <row customHeight="1" ht="21">
      <c r="A49" s="1380" t="s">
        <v>211</v>
      </c>
      <c r="B49" s="1380" t="s">
        <v>212</v>
      </c>
      <c r="C49" s="1380" t="s">
        <v>213</v>
      </c>
      <c r="D49" s="1380" t="s">
        <v>214</v>
      </c>
      <c r="E49" s="2090"/>
      <c r="F49" s="2090"/>
      <c r="G49" s="2090"/>
      <c r="H49" s="2090"/>
      <c r="I49" s="2092"/>
      <c r="J49" s="2092"/>
      <c r="K49" s="2091" t="str">
        <f>J48&amp;".1"</f>
        <v>....1.1.1</v>
      </c>
      <c r="L49" s="1381" t="s">
        <v>416</v>
      </c>
      <c r="P49" s="2093"/>
      <c r="Q49" s="2093"/>
      <c r="R49" s="345">
        <v>1</v>
      </c>
      <c r="S49" s="1353" t="str">
        <f>$K49</f>
        <v>....1.1.1</v>
      </c>
      <c r="T49" s="1364"/>
      <c r="U49" s="280"/>
      <c r="V49" s="312"/>
      <c r="W49" s="746"/>
      <c r="X49" s="312"/>
      <c r="Y49" s="381"/>
      <c r="Z49" s="2094"/>
      <c r="AA49" s="1963" t="s">
        <v>66</v>
      </c>
      <c r="AB49" s="2094"/>
      <c r="AC49" s="1963" t="s">
        <v>66</v>
      </c>
      <c r="AD49" s="312"/>
      <c r="AE49" s="746"/>
      <c r="AF49" s="312"/>
      <c r="AG49" s="381"/>
      <c r="AH49" s="2094"/>
      <c r="AI49" s="1963" t="s">
        <v>66</v>
      </c>
      <c r="AJ49" s="2096"/>
      <c r="AK49" s="1963" t="s">
        <v>66</v>
      </c>
      <c r="AL49" s="1365"/>
      <c r="AM49" s="2119" t="s">
        <v>417</v>
      </c>
      <c r="AN49" s="507">
        <f>STRCHECKDATE(V50:AL50)</f>
      </c>
      <c r="AO49" s="496"/>
      <c r="AP49" s="496" t="str">
        <f>IF(T49="","",T49)</f>
        <v/>
      </c>
      <c r="AQ49" s="496"/>
      <c r="AR49" s="496"/>
    </row>
    <row customHeight="1" ht="0.75">
      <c r="A50" s="1380" t="s">
        <v>211</v>
      </c>
      <c r="B50" s="1380" t="s">
        <v>212</v>
      </c>
      <c r="C50" s="1380" t="s">
        <v>213</v>
      </c>
      <c r="D50" s="1380" t="s">
        <v>214</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211</v>
      </c>
      <c r="B51" s="1380" t="s">
        <v>212</v>
      </c>
      <c r="C51" s="1380" t="s">
        <v>213</v>
      </c>
      <c r="D51" s="1380" t="s">
        <v>214</v>
      </c>
      <c r="E51" s="2090"/>
      <c r="F51" s="2090"/>
      <c r="G51" s="2090"/>
      <c r="H51" s="2090"/>
      <c r="I51" s="2092"/>
      <c r="J51" s="2091"/>
      <c r="K51" s="1380"/>
      <c r="L51" s="1381"/>
      <c r="P51" s="2093"/>
      <c r="Q51" s="2093"/>
      <c r="R51" s="344"/>
      <c r="S51" s="1295"/>
      <c r="T51" s="269" t="s">
        <v>418</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211</v>
      </c>
      <c r="B52" s="1380" t="s">
        <v>212</v>
      </c>
      <c r="C52" s="1380" t="s">
        <v>213</v>
      </c>
      <c r="D52" s="1380" t="s">
        <v>214</v>
      </c>
      <c r="E52" s="2090"/>
      <c r="F52" s="2090"/>
      <c r="G52" s="2090"/>
      <c r="H52" s="2090"/>
      <c r="I52" s="2091"/>
      <c r="J52" s="1380"/>
      <c r="K52" s="1380"/>
      <c r="L52" s="1381"/>
      <c r="P52" s="2093"/>
      <c r="Q52" s="1348"/>
      <c r="R52" s="344"/>
      <c r="S52" s="1295"/>
      <c r="T52" s="268" t="s">
        <v>419</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0" t="s">
        <v>211</v>
      </c>
      <c r="B53" s="1380" t="s">
        <v>212</v>
      </c>
      <c r="C53" s="1380" t="s">
        <v>213</v>
      </c>
      <c r="D53" s="1380" t="s">
        <v>214</v>
      </c>
      <c r="E53" s="2090"/>
      <c r="F53" s="2090"/>
      <c r="G53" s="2090"/>
      <c r="H53" s="2089"/>
      <c r="I53" s="1380"/>
      <c r="J53" s="1380"/>
      <c r="K53" s="1380"/>
      <c r="L53" s="1381"/>
      <c r="M53" s="1382"/>
      <c r="N53" s="1382"/>
      <c r="O53" s="533"/>
      <c r="P53" s="348"/>
      <c r="Q53" s="367"/>
      <c r="R53" s="343"/>
      <c r="S53" s="1295"/>
      <c r="T53" s="356" t="s">
        <v>420</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7" customFormat="1" customHeight="1" ht="0.75">
      <c r="A54" s="1360" t="s">
        <v>211</v>
      </c>
      <c r="B54" s="1360" t="s">
        <v>212</v>
      </c>
      <c r="C54" s="1360" t="s">
        <v>213</v>
      </c>
      <c r="D54" s="1331"/>
      <c r="E54" s="2090"/>
      <c r="F54" s="2090"/>
      <c r="G54" s="2089"/>
      <c r="H54" s="1331"/>
      <c r="I54" s="1331"/>
      <c r="J54" s="1331"/>
      <c r="K54" s="1331"/>
      <c r="L54" s="1356"/>
      <c r="M54" s="1332"/>
      <c r="N54" s="1332"/>
      <c r="P54" s="1333"/>
      <c r="Q54" s="1334"/>
      <c r="R54" s="1333"/>
      <c r="S54" s="1339"/>
      <c r="T54" s="1342" t="s">
        <v>166</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211</v>
      </c>
      <c r="B55" s="1360" t="s">
        <v>212</v>
      </c>
      <c r="C55" s="1331"/>
      <c r="D55" s="1331"/>
      <c r="E55" s="2090"/>
      <c r="F55" s="2089"/>
      <c r="G55" s="1331"/>
      <c r="H55" s="1331"/>
      <c r="I55" s="1331"/>
      <c r="J55" s="1331"/>
      <c r="K55" s="1331"/>
      <c r="L55" s="1356"/>
      <c r="M55" s="1338"/>
      <c r="N55" s="1338"/>
      <c r="P55" s="1333"/>
      <c r="Q55" s="1334"/>
      <c r="R55" s="1333"/>
      <c r="S55" s="1339"/>
      <c r="T55" s="1342" t="s">
        <v>167</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211</v>
      </c>
      <c r="B56" s="1360"/>
      <c r="C56" s="1360"/>
      <c r="D56" s="1360"/>
      <c r="E56" s="2089"/>
      <c r="F56" s="1360"/>
      <c r="G56" s="1360"/>
      <c r="H56" s="1360"/>
      <c r="I56" s="1360"/>
      <c r="J56" s="1360"/>
      <c r="K56" s="1360"/>
      <c r="L56" s="1363"/>
      <c r="M56" s="1338"/>
      <c r="N56" s="1338"/>
      <c r="O56" s="514"/>
      <c r="P56" s="376"/>
      <c r="Q56" s="1361"/>
      <c r="R56" s="376"/>
      <c r="S56" s="1339"/>
      <c r="T56" s="1342" t="s">
        <v>168</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180</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27">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7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row>
    <row customHeight="1" ht="18">
      <c r="O62" s="533"/>
      <c r="S62" s="1260"/>
      <c r="T62" s="2088"/>
      <c r="U62" s="2088"/>
      <c r="V62" s="2088"/>
      <c r="W62" s="2088"/>
      <c r="X62" s="2088"/>
      <c r="Y62" s="2088"/>
      <c r="Z62" s="2088"/>
      <c r="AA62" s="2088"/>
      <c r="AB62" s="2088"/>
      <c r="AC62" s="2088"/>
      <c r="AD62" s="2088"/>
      <c r="AE62" s="2088"/>
      <c r="AF62" s="2088"/>
      <c r="AG62" s="2088"/>
      <c r="AH62" s="2088"/>
      <c r="AI62" s="2088"/>
      <c r="AJ62" s="2088"/>
      <c r="AK62" s="2088"/>
      <c r="AL62" s="2088"/>
      <c r="AM62" s="2088"/>
    </row>
    <row customHeight="1" ht="18">
      <c r="O63" s="533"/>
      <c r="T63" s="2088"/>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38.25">
      <c r="O64" s="533"/>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326699-C2E2-38B5-C46E-8AB8A6C29212}" mc:Ignorable="x14ac xr xr2 xr3">
  <sheetPr>
    <tabColor theme="6" tint="0.4"/>
  </sheetPr>
  <dimension ref="A1:CF65"/>
  <sheetViews>
    <sheetView topLeftCell="AV37" showGridLines="0" zoomScale="90" workbookViewId="0">
      <selection activeCell="BR49" sqref="BR49"/>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hidden="1"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2" style="1660" width="5.08203125" customWidth="1"/>
    <col min="33" max="33" style="1660" width="2.8515625" customWidth="1"/>
    <col min="34" max="34" style="1660" width="11.7109375" customWidth="1"/>
    <col min="35" max="35" style="1660" width="3.7109375" customWidth="1"/>
    <col min="36" max="36" style="1660" width="11.7109375" customWidth="1"/>
    <col min="37" max="37" style="1660" width="8.57421875" customWidth="1"/>
    <col min="39" max="39" width="3.171875" customWidth="1"/>
    <col min="40" max="40" width="5.390625" customWidth="1"/>
    <col min="41" max="41" width="4.44140625" customWidth="1"/>
    <col min="47" max="47" width="2.8515625" customWidth="1"/>
    <col min="48" max="48" width="4.12109375" customWidth="1"/>
    <col min="49" max="49" width="4.44140625" customWidth="1"/>
    <col min="55" max="55" width="3.65234375" customWidth="1"/>
    <col min="56" max="56" width="3.9609375" customWidth="1"/>
    <col min="57" max="57" width="4.28125" customWidth="1"/>
    <col min="63" max="63" width="4.44140625" customWidth="1"/>
    <col min="64" max="64" width="3.4921875" customWidth="1"/>
    <col min="65" max="65" width="5.08203125" customWidth="1"/>
    <col min="71" max="71" width="1.90234375" customWidth="1"/>
    <col min="72" max="72" width="2.8515625" customWidth="1"/>
    <col min="73" max="73" width="2.54296875" customWidth="1"/>
    <col min="77" max="77" width="10.57421875" hidden="1"/>
    <col min="78" max="78" style="1660" width="4.7109375" customWidth="1"/>
    <col min="79" max="79" style="1660" width="115.7109375" customWidth="1"/>
    <col min="80" max="81" style="1667" width="10.57421875"/>
    <col min="82" max="82" style="1667" width="11.140625" customWidth="1"/>
    <col min="83" max="84" style="1667" width="10.57421875"/>
  </cols>
  <sheetData>
    <row customHeight="1" ht="14.25" hidden="1">
      <c r="Y1" s="315"/>
      <c r="Z1" s="315"/>
      <c r="AG1" s="315"/>
      <c r="AH1" s="315"/>
      <c r="AL1" s="1660"/>
      <c r="AM1" s="1660"/>
      <c r="AN1" s="1660"/>
      <c r="AO1" s="1660"/>
      <c r="AP1" s="1660"/>
      <c r="AQ1" s="1660"/>
      <c r="AR1" s="1660"/>
      <c r="AS1" s="1660"/>
      <c r="AT1" s="1660"/>
      <c r="AU1" s="1660"/>
      <c r="AV1" s="1660"/>
      <c r="AW1" s="1660"/>
      <c r="AX1" s="1660"/>
      <c r="AY1" s="1660"/>
      <c r="AZ1" s="1660"/>
      <c r="BA1" s="1660"/>
      <c r="BB1" s="1660"/>
      <c r="BC1" s="1660"/>
      <c r="BD1" s="1660"/>
      <c r="BE1" s="1660"/>
      <c r="BF1" s="1660"/>
      <c r="BG1" s="1660"/>
      <c r="BH1" s="1660"/>
      <c r="BI1" s="1660"/>
      <c r="BJ1" s="1660"/>
      <c r="BK1" s="1660"/>
      <c r="BL1" s="1660"/>
      <c r="BM1" s="1660"/>
      <c r="BN1" s="1660"/>
      <c r="BO1" s="1660"/>
      <c r="BP1" s="1660"/>
      <c r="BQ1" s="1660"/>
      <c r="BR1" s="1660"/>
      <c r="BS1" s="1660"/>
      <c r="BT1" s="1660"/>
      <c r="BU1" s="1660"/>
      <c r="BV1" s="1660"/>
      <c r="BW1" s="1660"/>
      <c r="BX1" s="1660"/>
      <c r="BY1" s="1660"/>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122</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3"/>
      <c r="AM2" s="2084"/>
      <c r="AN2" s="2084"/>
      <c r="AO2" s="2084"/>
      <c r="AP2" s="2084"/>
      <c r="AQ2" s="2084"/>
      <c r="AR2" s="2084"/>
      <c r="AS2" s="2085"/>
      <c r="AT2" s="2083"/>
      <c r="AU2" s="2084"/>
      <c r="AV2" s="2084"/>
      <c r="AW2" s="2084"/>
      <c r="AX2" s="2084"/>
      <c r="AY2" s="2084"/>
      <c r="AZ2" s="2084"/>
      <c r="BA2" s="2085"/>
      <c r="BB2" s="2083"/>
      <c r="BC2" s="2084"/>
      <c r="BD2" s="2084"/>
      <c r="BE2" s="2084"/>
      <c r="BF2" s="2084"/>
      <c r="BG2" s="2084"/>
      <c r="BH2" s="2084"/>
      <c r="BI2" s="2085"/>
      <c r="BJ2" s="2083"/>
      <c r="BK2" s="2084"/>
      <c r="BL2" s="2084"/>
      <c r="BM2" s="2084"/>
      <c r="BN2" s="2084"/>
      <c r="BO2" s="2084"/>
      <c r="BP2" s="2084"/>
      <c r="BQ2" s="2085"/>
      <c r="BR2" s="2083"/>
      <c r="BS2" s="2084"/>
      <c r="BT2" s="2084"/>
      <c r="BU2" s="2084"/>
      <c r="BV2" s="2084"/>
      <c r="BW2" s="2084"/>
      <c r="BX2" s="2084"/>
      <c r="BY2" s="2085"/>
      <c r="BZ2" s="2085"/>
      <c r="CA2" s="1273" t="s">
        <v>403</v>
      </c>
      <c r="CC2" s="496"/>
      <c r="CD2" s="496" t="str">
        <f>IF(T2="","",T2)</f>
        <v>Наименование тарифа</v>
      </c>
      <c r="CE2" s="496"/>
      <c r="CF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404</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3"/>
      <c r="AM3" s="2084"/>
      <c r="AN3" s="2084"/>
      <c r="AO3" s="2084"/>
      <c r="AP3" s="2084"/>
      <c r="AQ3" s="2084"/>
      <c r="AR3" s="2084"/>
      <c r="AS3" s="2085"/>
      <c r="AT3" s="2083"/>
      <c r="AU3" s="2084"/>
      <c r="AV3" s="2084"/>
      <c r="AW3" s="2084"/>
      <c r="AX3" s="2084"/>
      <c r="AY3" s="2084"/>
      <c r="AZ3" s="2084"/>
      <c r="BA3" s="2085"/>
      <c r="BB3" s="2083"/>
      <c r="BC3" s="2084"/>
      <c r="BD3" s="2084"/>
      <c r="BE3" s="2084"/>
      <c r="BF3" s="2084"/>
      <c r="BG3" s="2084"/>
      <c r="BH3" s="2084"/>
      <c r="BI3" s="2085"/>
      <c r="BJ3" s="2083"/>
      <c r="BK3" s="2084"/>
      <c r="BL3" s="2084"/>
      <c r="BM3" s="2084"/>
      <c r="BN3" s="2084"/>
      <c r="BO3" s="2084"/>
      <c r="BP3" s="2084"/>
      <c r="BQ3" s="2085"/>
      <c r="BR3" s="2083"/>
      <c r="BS3" s="2084"/>
      <c r="BT3" s="2084"/>
      <c r="BU3" s="2084"/>
      <c r="BV3" s="2084"/>
      <c r="BW3" s="2084"/>
      <c r="BX3" s="2084"/>
      <c r="BY3" s="2085"/>
      <c r="BZ3" s="2085"/>
      <c r="CA3" s="1273" t="s">
        <v>405</v>
      </c>
      <c r="CC3" s="496"/>
      <c r="CD3" s="496" t="str">
        <f>IF(T3="","",T3)</f>
        <v>Территория действия тарифа</v>
      </c>
      <c r="CE3" s="496"/>
      <c r="CF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406</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3"/>
      <c r="AM4" s="2084"/>
      <c r="AN4" s="2084"/>
      <c r="AO4" s="2084"/>
      <c r="AP4" s="2084"/>
      <c r="AQ4" s="2084"/>
      <c r="AR4" s="2084"/>
      <c r="AS4" s="2085"/>
      <c r="AT4" s="2083"/>
      <c r="AU4" s="2084"/>
      <c r="AV4" s="2084"/>
      <c r="AW4" s="2084"/>
      <c r="AX4" s="2084"/>
      <c r="AY4" s="2084"/>
      <c r="AZ4" s="2084"/>
      <c r="BA4" s="2085"/>
      <c r="BB4" s="2083"/>
      <c r="BC4" s="2084"/>
      <c r="BD4" s="2084"/>
      <c r="BE4" s="2084"/>
      <c r="BF4" s="2084"/>
      <c r="BG4" s="2084"/>
      <c r="BH4" s="2084"/>
      <c r="BI4" s="2085"/>
      <c r="BJ4" s="2083"/>
      <c r="BK4" s="2084"/>
      <c r="BL4" s="2084"/>
      <c r="BM4" s="2084"/>
      <c r="BN4" s="2084"/>
      <c r="BO4" s="2084"/>
      <c r="BP4" s="2084"/>
      <c r="BQ4" s="2085"/>
      <c r="BR4" s="2083"/>
      <c r="BS4" s="2084"/>
      <c r="BT4" s="2084"/>
      <c r="BU4" s="2084"/>
      <c r="BV4" s="2084"/>
      <c r="BW4" s="2084"/>
      <c r="BX4" s="2084"/>
      <c r="BY4" s="2085"/>
      <c r="BZ4" s="2085"/>
      <c r="CA4" s="1273" t="s">
        <v>407</v>
      </c>
      <c r="CC4" s="496"/>
      <c r="CD4" s="496" t="str">
        <f>IF(T4="","",T4)</f>
        <v>Наименование системы теплоснабжения </v>
      </c>
      <c r="CE4" s="496"/>
      <c r="CF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408</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3"/>
      <c r="AM5" s="2084"/>
      <c r="AN5" s="2084"/>
      <c r="AO5" s="2084"/>
      <c r="AP5" s="2084"/>
      <c r="AQ5" s="2084"/>
      <c r="AR5" s="2084"/>
      <c r="AS5" s="2085"/>
      <c r="AT5" s="2083"/>
      <c r="AU5" s="2084"/>
      <c r="AV5" s="2084"/>
      <c r="AW5" s="2084"/>
      <c r="AX5" s="2084"/>
      <c r="AY5" s="2084"/>
      <c r="AZ5" s="2084"/>
      <c r="BA5" s="2085"/>
      <c r="BB5" s="2083"/>
      <c r="BC5" s="2084"/>
      <c r="BD5" s="2084"/>
      <c r="BE5" s="2084"/>
      <c r="BF5" s="2084"/>
      <c r="BG5" s="2084"/>
      <c r="BH5" s="2084"/>
      <c r="BI5" s="2085"/>
      <c r="BJ5" s="2083"/>
      <c r="BK5" s="2084"/>
      <c r="BL5" s="2084"/>
      <c r="BM5" s="2084"/>
      <c r="BN5" s="2084"/>
      <c r="BO5" s="2084"/>
      <c r="BP5" s="2084"/>
      <c r="BQ5" s="2085"/>
      <c r="BR5" s="2083"/>
      <c r="BS5" s="2084"/>
      <c r="BT5" s="2084"/>
      <c r="BU5" s="2084"/>
      <c r="BV5" s="2084"/>
      <c r="BW5" s="2084"/>
      <c r="BX5" s="2084"/>
      <c r="BY5" s="2085"/>
      <c r="BZ5" s="2085"/>
      <c r="CA5" s="1273" t="s">
        <v>409</v>
      </c>
      <c r="CC5" s="496"/>
      <c r="CD5" s="496" t="str">
        <f>IF(T5="","",T5)</f>
        <v>Источник тепловой энергии  </v>
      </c>
      <c r="CE5" s="496"/>
      <c r="CF5" s="496"/>
    </row>
    <row customHeight="1" ht="14.25" hidden="1">
      <c r="A6" s="1380"/>
      <c r="B6" s="1380"/>
      <c r="C6" s="1380"/>
      <c r="D6" s="1380"/>
      <c r="E6" s="2090"/>
      <c r="F6" s="2090"/>
      <c r="G6" s="2090"/>
      <c r="H6" s="2090"/>
      <c r="I6" s="2091">
        <f>S5&amp;".1"</f>
      </c>
      <c r="J6" s="1380"/>
      <c r="K6" s="1380"/>
      <c r="L6" s="1381" t="s">
        <v>410</v>
      </c>
      <c r="M6" s="533"/>
      <c r="P6" s="2093">
        <v>1</v>
      </c>
      <c r="Q6" s="1348"/>
      <c r="R6" s="344"/>
      <c r="S6" s="1037"/>
      <c r="T6" s="1400"/>
      <c r="U6" s="1401"/>
      <c r="V6" s="2129"/>
      <c r="W6" s="2130"/>
      <c r="X6" s="2130"/>
      <c r="Y6" s="2130"/>
      <c r="Z6" s="2130"/>
      <c r="AA6" s="2130"/>
      <c r="AB6" s="2130"/>
      <c r="AC6" s="2131"/>
      <c r="AD6" s="2129"/>
      <c r="AE6" s="2130"/>
      <c r="AF6" s="2130"/>
      <c r="AG6" s="2130"/>
      <c r="AH6" s="2130"/>
      <c r="AI6" s="2130"/>
      <c r="AJ6" s="2130"/>
      <c r="AK6" s="2130"/>
      <c r="AL6" s="2129"/>
      <c r="AM6" s="2130"/>
      <c r="AN6" s="2130"/>
      <c r="AO6" s="2130"/>
      <c r="AP6" s="2130"/>
      <c r="AQ6" s="2130"/>
      <c r="AR6" s="2130"/>
      <c r="AS6" s="2131"/>
      <c r="AT6" s="2129"/>
      <c r="AU6" s="2130"/>
      <c r="AV6" s="2130"/>
      <c r="AW6" s="2130"/>
      <c r="AX6" s="2130"/>
      <c r="AY6" s="2130"/>
      <c r="AZ6" s="2130"/>
      <c r="BA6" s="2131"/>
      <c r="BB6" s="2129"/>
      <c r="BC6" s="2130"/>
      <c r="BD6" s="2130"/>
      <c r="BE6" s="2130"/>
      <c r="BF6" s="2130"/>
      <c r="BG6" s="2130"/>
      <c r="BH6" s="2130"/>
      <c r="BI6" s="2131"/>
      <c r="BJ6" s="2129"/>
      <c r="BK6" s="2130"/>
      <c r="BL6" s="2130"/>
      <c r="BM6" s="2130"/>
      <c r="BN6" s="2130"/>
      <c r="BO6" s="2130"/>
      <c r="BP6" s="2130"/>
      <c r="BQ6" s="2131"/>
      <c r="BR6" s="2129"/>
      <c r="BS6" s="2130"/>
      <c r="BT6" s="2130"/>
      <c r="BU6" s="2130"/>
      <c r="BV6" s="2130"/>
      <c r="BW6" s="2130"/>
      <c r="BX6" s="2130"/>
      <c r="BY6" s="2131"/>
      <c r="BZ6" s="2131"/>
      <c r="CA6" s="1402"/>
      <c r="CC6" s="496"/>
      <c r="CD6" s="496" t="str">
        <f>IF(T6="","",T6)</f>
        <v/>
      </c>
      <c r="CE6" s="496"/>
      <c r="CF6" s="496"/>
    </row>
    <row customHeight="1" ht="21" hidden="1">
      <c r="A7" s="1380"/>
      <c r="B7" s="1380"/>
      <c r="C7" s="1380"/>
      <c r="D7" s="1380"/>
      <c r="E7" s="2090"/>
      <c r="F7" s="2090"/>
      <c r="G7" s="2090"/>
      <c r="H7" s="2090"/>
      <c r="I7" s="2092"/>
      <c r="J7" s="2091">
        <f>I6&amp;".1"</f>
      </c>
      <c r="K7" s="1380"/>
      <c r="L7" s="1381" t="s">
        <v>413</v>
      </c>
      <c r="M7" s="533"/>
      <c r="N7" s="1383"/>
      <c r="P7" s="2093"/>
      <c r="Q7" s="2093">
        <v>1</v>
      </c>
      <c r="R7" s="345"/>
      <c r="S7" s="1353">
        <f>$J7</f>
      </c>
      <c r="T7" s="267" t="s">
        <v>414</v>
      </c>
      <c r="U7" s="280"/>
      <c r="V7" s="2077"/>
      <c r="W7" s="2078"/>
      <c r="X7" s="2078"/>
      <c r="Y7" s="2078"/>
      <c r="Z7" s="2078"/>
      <c r="AA7" s="2078"/>
      <c r="AB7" s="2078"/>
      <c r="AC7" s="2079"/>
      <c r="AD7" s="2077"/>
      <c r="AE7" s="2078"/>
      <c r="AF7" s="2078"/>
      <c r="AG7" s="2078"/>
      <c r="AH7" s="2078"/>
      <c r="AI7" s="2078"/>
      <c r="AJ7" s="2078"/>
      <c r="AK7" s="2078"/>
      <c r="AL7" s="2077"/>
      <c r="AM7" s="2078"/>
      <c r="AN7" s="2078"/>
      <c r="AO7" s="2078"/>
      <c r="AP7" s="2078"/>
      <c r="AQ7" s="2078"/>
      <c r="AR7" s="2078"/>
      <c r="AS7" s="2079"/>
      <c r="AT7" s="2077"/>
      <c r="AU7" s="2078"/>
      <c r="AV7" s="2078"/>
      <c r="AW7" s="2078"/>
      <c r="AX7" s="2078"/>
      <c r="AY7" s="2078"/>
      <c r="AZ7" s="2078"/>
      <c r="BA7" s="2079"/>
      <c r="BB7" s="2077"/>
      <c r="BC7" s="2078"/>
      <c r="BD7" s="2078"/>
      <c r="BE7" s="2078"/>
      <c r="BF7" s="2078"/>
      <c r="BG7" s="2078"/>
      <c r="BH7" s="2078"/>
      <c r="BI7" s="2079"/>
      <c r="BJ7" s="2077"/>
      <c r="BK7" s="2078"/>
      <c r="BL7" s="2078"/>
      <c r="BM7" s="2078"/>
      <c r="BN7" s="2078"/>
      <c r="BO7" s="2078"/>
      <c r="BP7" s="2078"/>
      <c r="BQ7" s="2079"/>
      <c r="BR7" s="2077"/>
      <c r="BS7" s="2078"/>
      <c r="BT7" s="2078"/>
      <c r="BU7" s="2078"/>
      <c r="BV7" s="2078"/>
      <c r="BW7" s="2078"/>
      <c r="BX7" s="2078"/>
      <c r="BY7" s="2079"/>
      <c r="BZ7" s="2079"/>
      <c r="CA7" s="1273" t="s">
        <v>415</v>
      </c>
      <c r="CC7" s="496"/>
      <c r="CD7" s="496" t="str">
        <f>IF(T7="","",T7)</f>
        <v>Группа потребителей</v>
      </c>
      <c r="CE7" s="496"/>
      <c r="CF7" s="496"/>
    </row>
    <row customHeight="1" ht="21" hidden="1">
      <c r="A8" s="1380"/>
      <c r="B8" s="1380"/>
      <c r="C8" s="1380"/>
      <c r="D8" s="1380"/>
      <c r="E8" s="2090"/>
      <c r="F8" s="2090"/>
      <c r="G8" s="2090"/>
      <c r="H8" s="2090"/>
      <c r="I8" s="2092"/>
      <c r="J8" s="2092"/>
      <c r="K8" s="2091">
        <f>J7&amp;".1"</f>
      </c>
      <c r="L8" s="1381" t="s">
        <v>416</v>
      </c>
      <c r="M8" s="533"/>
      <c r="N8" s="1383"/>
      <c r="O8" s="1383"/>
      <c r="P8" s="2093"/>
      <c r="Q8" s="2093"/>
      <c r="R8" s="345">
        <v>1</v>
      </c>
      <c r="S8" s="1353">
        <f>$K8</f>
      </c>
      <c r="T8" s="1364"/>
      <c r="U8" s="280"/>
      <c r="V8" s="746"/>
      <c r="W8" s="312"/>
      <c r="X8" s="746"/>
      <c r="Y8" s="1272"/>
      <c r="Z8" s="2094"/>
      <c r="AA8" s="1963" t="s">
        <v>66</v>
      </c>
      <c r="AB8" s="2094"/>
      <c r="AC8" s="1963" t="s">
        <v>66</v>
      </c>
      <c r="AD8" s="746"/>
      <c r="AE8" s="312"/>
      <c r="AF8" s="746"/>
      <c r="AG8" s="1272"/>
      <c r="AH8" s="2094"/>
      <c r="AI8" s="1963" t="s">
        <v>66</v>
      </c>
      <c r="AJ8" s="2094"/>
      <c r="AK8" s="1963" t="s">
        <v>66</v>
      </c>
      <c r="AL8" s="746"/>
      <c r="AM8" s="312"/>
      <c r="AN8" s="746"/>
      <c r="AO8" s="1272"/>
      <c r="AP8" s="2425"/>
      <c r="AQ8" s="1963" t="s">
        <v>66</v>
      </c>
      <c r="AR8" s="2425"/>
      <c r="AS8" s="1963" t="s">
        <v>66</v>
      </c>
      <c r="AT8" s="746"/>
      <c r="AU8" s="312"/>
      <c r="AV8" s="746"/>
      <c r="AW8" s="1272"/>
      <c r="AX8" s="2425"/>
      <c r="AY8" s="1963" t="s">
        <v>66</v>
      </c>
      <c r="AZ8" s="2425"/>
      <c r="BA8" s="1963" t="s">
        <v>66</v>
      </c>
      <c r="BB8" s="746"/>
      <c r="BC8" s="312"/>
      <c r="BD8" s="746"/>
      <c r="BE8" s="1272"/>
      <c r="BF8" s="2425"/>
      <c r="BG8" s="1963" t="s">
        <v>66</v>
      </c>
      <c r="BH8" s="2425"/>
      <c r="BI8" s="1963" t="s">
        <v>66</v>
      </c>
      <c r="BJ8" s="746"/>
      <c r="BK8" s="312"/>
      <c r="BL8" s="746"/>
      <c r="BM8" s="1272"/>
      <c r="BN8" s="2425"/>
      <c r="BO8" s="1963" t="s">
        <v>66</v>
      </c>
      <c r="BP8" s="2425"/>
      <c r="BQ8" s="1963" t="s">
        <v>66</v>
      </c>
      <c r="BR8" s="746"/>
      <c r="BS8" s="312"/>
      <c r="BT8" s="746"/>
      <c r="BU8" s="1272"/>
      <c r="BV8" s="2425"/>
      <c r="BW8" s="1963" t="s">
        <v>66</v>
      </c>
      <c r="BX8" s="2425"/>
      <c r="BY8" s="1963" t="s">
        <v>66</v>
      </c>
      <c r="BZ8" s="312"/>
      <c r="CA8" s="2119" t="s">
        <v>417</v>
      </c>
      <c r="CB8" s="507">
        <f>STRCHECKDATE(V9:BZ9)</f>
      </c>
      <c r="CC8" s="496"/>
      <c r="CD8" s="496" t="str">
        <f>IF(T8="","",T8)</f>
        <v/>
      </c>
      <c r="CE8" s="496"/>
      <c r="CF8" s="496"/>
    </row>
    <row customHeight="1" ht="0.7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312"/>
      <c r="AN9" s="312"/>
      <c r="AO9" s="316" t="str">
        <f>AP8&amp;"-"&amp;AR8</f>
        <v>-</v>
      </c>
      <c r="AP9" s="2134"/>
      <c r="AQ9" s="1963"/>
      <c r="AR9" s="2134"/>
      <c r="AS9" s="1963"/>
      <c r="AT9" s="312"/>
      <c r="AU9" s="312"/>
      <c r="AV9" s="312"/>
      <c r="AW9" s="316" t="str">
        <f>AX8&amp;"-"&amp;AZ8</f>
        <v>-</v>
      </c>
      <c r="AX9" s="2134"/>
      <c r="AY9" s="1963"/>
      <c r="AZ9" s="2134"/>
      <c r="BA9" s="1963"/>
      <c r="BB9" s="312"/>
      <c r="BC9" s="312"/>
      <c r="BD9" s="312"/>
      <c r="BE9" s="316" t="str">
        <f>BF8&amp;"-"&amp;BH8</f>
        <v>-</v>
      </c>
      <c r="BF9" s="2134"/>
      <c r="BG9" s="1963"/>
      <c r="BH9" s="2134"/>
      <c r="BI9" s="1963"/>
      <c r="BJ9" s="312"/>
      <c r="BK9" s="312"/>
      <c r="BL9" s="312"/>
      <c r="BM9" s="316" t="str">
        <f>BN8&amp;"-"&amp;BP8</f>
        <v>-</v>
      </c>
      <c r="BN9" s="2134"/>
      <c r="BO9" s="1963"/>
      <c r="BP9" s="2134"/>
      <c r="BQ9" s="1963"/>
      <c r="BR9" s="312"/>
      <c r="BS9" s="312"/>
      <c r="BT9" s="312"/>
      <c r="BU9" s="316" t="str">
        <f>BV8&amp;"-"&amp;BX8</f>
        <v>-</v>
      </c>
      <c r="BV9" s="2134"/>
      <c r="BW9" s="1963"/>
      <c r="BX9" s="2134"/>
      <c r="BY9" s="1963"/>
      <c r="BZ9" s="312"/>
      <c r="CA9" s="2120"/>
      <c r="CC9" s="496"/>
      <c r="CD9" s="496" t="str">
        <f>IF(T9="","",T9)</f>
        <v/>
      </c>
      <c r="CE9" s="496"/>
      <c r="CF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8" t="s">
        <v>418</v>
      </c>
      <c r="U10" s="359"/>
      <c r="V10" s="359"/>
      <c r="W10" s="359"/>
      <c r="X10" s="359"/>
      <c r="Y10" s="359"/>
      <c r="Z10" s="359"/>
      <c r="AA10" s="359"/>
      <c r="AB10" s="359"/>
      <c r="AC10" s="359"/>
      <c r="AD10" s="359"/>
      <c r="AE10" s="359"/>
      <c r="AF10" s="359"/>
      <c r="AG10" s="359"/>
      <c r="AH10" s="359"/>
      <c r="AI10" s="359"/>
      <c r="AJ10" s="359"/>
      <c r="AK10" s="359"/>
      <c r="AL10" s="3440"/>
      <c r="AM10" s="3441"/>
      <c r="AN10" s="3442"/>
      <c r="AO10" s="3443"/>
      <c r="AP10" s="3444"/>
      <c r="AQ10" s="3445"/>
      <c r="AR10" s="3446"/>
      <c r="AS10" s="3447"/>
      <c r="AT10" s="3448"/>
      <c r="AU10" s="3449"/>
      <c r="AV10" s="3450"/>
      <c r="AW10" s="3451"/>
      <c r="AX10" s="3452"/>
      <c r="AY10" s="3453"/>
      <c r="AZ10" s="3454"/>
      <c r="BA10" s="3455"/>
      <c r="BB10" s="3456"/>
      <c r="BC10" s="3457"/>
      <c r="BD10" s="3458"/>
      <c r="BE10" s="3459"/>
      <c r="BF10" s="3460"/>
      <c r="BG10" s="3461"/>
      <c r="BH10" s="3462"/>
      <c r="BI10" s="3463"/>
      <c r="BJ10" s="3464"/>
      <c r="BK10" s="3465"/>
      <c r="BL10" s="3466"/>
      <c r="BM10" s="3467"/>
      <c r="BN10" s="3468"/>
      <c r="BO10" s="3469"/>
      <c r="BP10" s="3470"/>
      <c r="BQ10" s="3471"/>
      <c r="BR10" s="3472"/>
      <c r="BS10" s="3473"/>
      <c r="BT10" s="3474"/>
      <c r="BU10" s="3475"/>
      <c r="BV10" s="3476"/>
      <c r="BW10" s="3477"/>
      <c r="BX10" s="3478"/>
      <c r="BY10" s="3479"/>
      <c r="BZ10" s="311"/>
      <c r="CA10" s="2121"/>
      <c r="CC10" s="496"/>
      <c r="CD10" s="496" t="str">
        <f>IF(T10="","",T10)</f>
        <v>Добавить вид теплоносителя (параметры теплоносителя)</v>
      </c>
      <c r="CE10" s="496"/>
      <c r="CF10" s="496"/>
    </row>
    <row customHeight="1" ht="15" hidden="1">
      <c r="A11" s="1380"/>
      <c r="B11" s="1380"/>
      <c r="C11" s="1380"/>
      <c r="D11" s="1380"/>
      <c r="E11" s="2090"/>
      <c r="F11" s="2090"/>
      <c r="G11" s="2090"/>
      <c r="H11" s="2090"/>
      <c r="I11" s="2091"/>
      <c r="J11" s="1380"/>
      <c r="K11" s="1380"/>
      <c r="L11" s="1381"/>
      <c r="M11" s="533"/>
      <c r="P11" s="2093"/>
      <c r="Q11" s="1348"/>
      <c r="R11" s="344"/>
      <c r="S11" s="1295"/>
      <c r="T11" s="356" t="s">
        <v>419</v>
      </c>
      <c r="U11" s="359"/>
      <c r="V11" s="359"/>
      <c r="W11" s="359"/>
      <c r="X11" s="359"/>
      <c r="Y11" s="359"/>
      <c r="Z11" s="359"/>
      <c r="AA11" s="359"/>
      <c r="AB11" s="359"/>
      <c r="AC11" s="358"/>
      <c r="AD11" s="359"/>
      <c r="AE11" s="359"/>
      <c r="AF11" s="359"/>
      <c r="AG11" s="359"/>
      <c r="AH11" s="359"/>
      <c r="AI11" s="359"/>
      <c r="AJ11" s="359"/>
      <c r="AK11" s="358"/>
      <c r="AL11" s="3480"/>
      <c r="AM11" s="3481"/>
      <c r="AN11" s="3482"/>
      <c r="AO11" s="3483"/>
      <c r="AP11" s="3484"/>
      <c r="AQ11" s="3485"/>
      <c r="AR11" s="3486"/>
      <c r="AS11" s="3487"/>
      <c r="AT11" s="3488"/>
      <c r="AU11" s="3489"/>
      <c r="AV11" s="3490"/>
      <c r="AW11" s="3491"/>
      <c r="AX11" s="3492"/>
      <c r="AY11" s="3493"/>
      <c r="AZ11" s="3494"/>
      <c r="BA11" s="3495"/>
      <c r="BB11" s="3496"/>
      <c r="BC11" s="3497"/>
      <c r="BD11" s="3498"/>
      <c r="BE11" s="3499"/>
      <c r="BF11" s="3500"/>
      <c r="BG11" s="3501"/>
      <c r="BH11" s="3502"/>
      <c r="BI11" s="3503"/>
      <c r="BJ11" s="3504"/>
      <c r="BK11" s="3505"/>
      <c r="BL11" s="3506"/>
      <c r="BM11" s="3507"/>
      <c r="BN11" s="3508"/>
      <c r="BO11" s="3509"/>
      <c r="BP11" s="3510"/>
      <c r="BQ11" s="3511"/>
      <c r="BR11" s="3512"/>
      <c r="BS11" s="3513"/>
      <c r="BT11" s="3514"/>
      <c r="BU11" s="3515"/>
      <c r="BV11" s="3516"/>
      <c r="BW11" s="3517"/>
      <c r="BX11" s="3518"/>
      <c r="BY11" s="3519"/>
      <c r="BZ11" s="359"/>
      <c r="CA11" s="283"/>
      <c r="CC11" s="496"/>
      <c r="CD11" s="496" t="str">
        <f>IF(T11="","",T11)</f>
        <v>Добавить группу потребителей</v>
      </c>
      <c r="CE11" s="496"/>
      <c r="CF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403"/>
      <c r="T12" s="1404"/>
      <c r="U12" s="1405"/>
      <c r="V12" s="1405"/>
      <c r="W12" s="1405"/>
      <c r="X12" s="1405"/>
      <c r="Y12" s="1405"/>
      <c r="Z12" s="1405"/>
      <c r="AA12" s="1405"/>
      <c r="AB12" s="1405"/>
      <c r="AC12" s="1405"/>
      <c r="AD12" s="1405"/>
      <c r="AE12" s="1405"/>
      <c r="AF12" s="1405"/>
      <c r="AG12" s="1405"/>
      <c r="AH12" s="1405"/>
      <c r="AI12" s="1405"/>
      <c r="AJ12" s="1405"/>
      <c r="AK12" s="1405"/>
      <c r="AL12" s="1405"/>
      <c r="AM12" s="1405"/>
      <c r="AN12" s="1405"/>
      <c r="AO12" s="1405"/>
      <c r="AP12" s="1405"/>
      <c r="AQ12" s="1405"/>
      <c r="AR12" s="1405"/>
      <c r="AS12" s="1405"/>
      <c r="AT12" s="1405"/>
      <c r="AU12" s="1405"/>
      <c r="AV12" s="1405"/>
      <c r="AW12" s="1405"/>
      <c r="AX12" s="1405"/>
      <c r="AY12" s="1405"/>
      <c r="AZ12" s="1405"/>
      <c r="BA12" s="1405"/>
      <c r="BB12" s="1405"/>
      <c r="BC12" s="1405"/>
      <c r="BD12" s="1405"/>
      <c r="BE12" s="1405"/>
      <c r="BF12" s="1405"/>
      <c r="BG12" s="1405"/>
      <c r="BH12" s="1405"/>
      <c r="BI12" s="1405"/>
      <c r="BJ12" s="1405"/>
      <c r="BK12" s="1405"/>
      <c r="BL12" s="1405"/>
      <c r="BM12" s="1405"/>
      <c r="BN12" s="1405"/>
      <c r="BO12" s="1405"/>
      <c r="BP12" s="1405"/>
      <c r="BQ12" s="1405"/>
      <c r="BR12" s="1405"/>
      <c r="BS12" s="1405"/>
      <c r="BT12" s="1405"/>
      <c r="BU12" s="1405"/>
      <c r="BV12" s="1405"/>
      <c r="BW12" s="1405"/>
      <c r="BX12" s="1405"/>
      <c r="BY12" s="1405"/>
      <c r="BZ12" s="1405"/>
      <c r="CA12" s="1406"/>
      <c r="CC12" s="496"/>
      <c r="CD12" s="496" t="str">
        <f>IF(T12="","",T12)</f>
        <v/>
      </c>
      <c r="CE12" s="496"/>
      <c r="CF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166</v>
      </c>
      <c r="U13" s="1337"/>
      <c r="V13" s="1337"/>
      <c r="W13" s="1337"/>
      <c r="X13" s="1337"/>
      <c r="Y13" s="1337"/>
      <c r="Z13" s="1337"/>
      <c r="AA13" s="1337"/>
      <c r="AB13" s="1337"/>
      <c r="AC13" s="1337"/>
      <c r="AD13" s="1337"/>
      <c r="AE13" s="1337"/>
      <c r="AF13" s="1337"/>
      <c r="AG13" s="1337"/>
      <c r="AH13" s="1337"/>
      <c r="AI13" s="1337"/>
      <c r="AJ13" s="1337"/>
      <c r="AK13" s="1337"/>
      <c r="AL13" s="1337"/>
      <c r="AM13" s="1337"/>
      <c r="AN13" s="1337"/>
      <c r="AO13" s="1337"/>
      <c r="AP13" s="1337"/>
      <c r="AQ13" s="1337"/>
      <c r="AR13" s="1337"/>
      <c r="AS13" s="1337"/>
      <c r="AT13" s="1337"/>
      <c r="AU13" s="1337"/>
      <c r="AV13" s="1337"/>
      <c r="AW13" s="1337"/>
      <c r="AX13" s="1337"/>
      <c r="AY13" s="1337"/>
      <c r="AZ13" s="1337"/>
      <c r="BA13" s="1337"/>
      <c r="BB13" s="1337"/>
      <c r="BC13" s="1337"/>
      <c r="BD13" s="1337"/>
      <c r="BE13" s="1337"/>
      <c r="BF13" s="1337"/>
      <c r="BG13" s="1337"/>
      <c r="BH13" s="1337"/>
      <c r="BI13" s="1337"/>
      <c r="BJ13" s="1337"/>
      <c r="BK13" s="1337"/>
      <c r="BL13" s="1337"/>
      <c r="BM13" s="1337"/>
      <c r="BN13" s="1337"/>
      <c r="BO13" s="1337"/>
      <c r="BP13" s="1337"/>
      <c r="BQ13" s="1337"/>
      <c r="BR13" s="1337"/>
      <c r="BS13" s="1337"/>
      <c r="BT13" s="1337"/>
      <c r="BU13" s="1337"/>
      <c r="BV13" s="1337"/>
      <c r="BW13" s="1337"/>
      <c r="BX13" s="1337"/>
      <c r="BY13" s="1337"/>
      <c r="BZ13" s="1337"/>
      <c r="CA13" s="1337"/>
      <c r="CC13" s="783"/>
      <c r="CD13" s="783" t="str">
        <f>IF(T13="","",T13)</f>
        <v>Добавить источник для дифференциации</v>
      </c>
      <c r="CE13" s="783"/>
      <c r="CF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167</v>
      </c>
      <c r="U14" s="1341"/>
      <c r="V14" s="1341"/>
      <c r="W14" s="1341"/>
      <c r="X14" s="1341"/>
      <c r="Y14" s="1341"/>
      <c r="Z14" s="1341"/>
      <c r="AA14" s="1341"/>
      <c r="AB14" s="1341"/>
      <c r="AC14" s="1341"/>
      <c r="AD14" s="1341"/>
      <c r="AE14" s="1341"/>
      <c r="AF14" s="1341"/>
      <c r="AG14" s="1341"/>
      <c r="AH14" s="1341"/>
      <c r="AI14" s="1341"/>
      <c r="AJ14" s="1341"/>
      <c r="AK14" s="1341"/>
      <c r="AL14" s="1341"/>
      <c r="AM14" s="1341"/>
      <c r="AN14" s="1341"/>
      <c r="AO14" s="1341"/>
      <c r="AP14" s="1341"/>
      <c r="AQ14" s="1341"/>
      <c r="AR14" s="1341"/>
      <c r="AS14" s="1341"/>
      <c r="AT14" s="1341"/>
      <c r="AU14" s="1341"/>
      <c r="AV14" s="1341"/>
      <c r="AW14" s="1341"/>
      <c r="AX14" s="1341"/>
      <c r="AY14" s="1341"/>
      <c r="AZ14" s="1341"/>
      <c r="BA14" s="1341"/>
      <c r="BB14" s="1341"/>
      <c r="BC14" s="1341"/>
      <c r="BD14" s="1341"/>
      <c r="BE14" s="1341"/>
      <c r="BF14" s="1341"/>
      <c r="BG14" s="1341"/>
      <c r="BH14" s="1341"/>
      <c r="BI14" s="1341"/>
      <c r="BJ14" s="1341"/>
      <c r="BK14" s="1341"/>
      <c r="BL14" s="1341"/>
      <c r="BM14" s="1341"/>
      <c r="BN14" s="1341"/>
      <c r="BO14" s="1341"/>
      <c r="BP14" s="1341"/>
      <c r="BQ14" s="1341"/>
      <c r="BR14" s="1341"/>
      <c r="BS14" s="1341"/>
      <c r="BT14" s="1341"/>
      <c r="BU14" s="1341"/>
      <c r="BV14" s="1341"/>
      <c r="BW14" s="1341"/>
      <c r="BX14" s="1341"/>
      <c r="BY14" s="1341"/>
      <c r="BZ14" s="1341"/>
      <c r="CA14" s="1341"/>
      <c r="CC14" s="783"/>
      <c r="CD14" s="783" t="str">
        <f>IF(T14="","",T14)</f>
        <v>Добавить централизованную систему для дифференциации</v>
      </c>
      <c r="CE14" s="783"/>
      <c r="CF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168</v>
      </c>
      <c r="U15" s="1341"/>
      <c r="V15" s="1341"/>
      <c r="W15" s="1341"/>
      <c r="X15" s="1341"/>
      <c r="Y15" s="1341"/>
      <c r="Z15" s="1341"/>
      <c r="AA15" s="1341"/>
      <c r="AB15" s="1341"/>
      <c r="AC15" s="1341"/>
      <c r="AD15" s="1341"/>
      <c r="AE15" s="1341"/>
      <c r="AF15" s="1341"/>
      <c r="AG15" s="1341"/>
      <c r="AH15" s="1341"/>
      <c r="AI15" s="1341"/>
      <c r="AJ15" s="1341"/>
      <c r="AK15" s="1341"/>
      <c r="AL15" s="1341"/>
      <c r="AM15" s="1341"/>
      <c r="AN15" s="1341"/>
      <c r="AO15" s="1341"/>
      <c r="AP15" s="1341"/>
      <c r="AQ15" s="1341"/>
      <c r="AR15" s="1341"/>
      <c r="AS15" s="1341"/>
      <c r="AT15" s="1341"/>
      <c r="AU15" s="1341"/>
      <c r="AV15" s="1341"/>
      <c r="AW15" s="1341"/>
      <c r="AX15" s="1341"/>
      <c r="AY15" s="1341"/>
      <c r="AZ15" s="1341"/>
      <c r="BA15" s="1341"/>
      <c r="BB15" s="1341"/>
      <c r="BC15" s="1341"/>
      <c r="BD15" s="1341"/>
      <c r="BE15" s="1341"/>
      <c r="BF15" s="1341"/>
      <c r="BG15" s="1341"/>
      <c r="BH15" s="1341"/>
      <c r="BI15" s="1341"/>
      <c r="BJ15" s="1341"/>
      <c r="BK15" s="1341"/>
      <c r="BL15" s="1341"/>
      <c r="BM15" s="1341"/>
      <c r="BN15" s="1341"/>
      <c r="BO15" s="1341"/>
      <c r="BP15" s="1341"/>
      <c r="BQ15" s="1341"/>
      <c r="BR15" s="1341"/>
      <c r="BS15" s="1341"/>
      <c r="BT15" s="1341"/>
      <c r="BU15" s="1341"/>
      <c r="BV15" s="1341"/>
      <c r="BW15" s="1341"/>
      <c r="BX15" s="1341"/>
      <c r="BY15" s="1341"/>
      <c r="BZ15" s="1341"/>
      <c r="CA15" s="1341"/>
      <c r="CC15" s="783"/>
      <c r="CD15" s="783" t="str">
        <f>IF(T15="","",T15)</f>
        <v>Добавить территорию для дифференциации</v>
      </c>
      <c r="CE15" s="783"/>
      <c r="CF15" s="783"/>
    </row>
    <row customHeight="1" ht="14.25" hidden="1">
      <c r="AC16" s="315"/>
      <c r="AK16" s="315"/>
      <c r="AL16" s="1660"/>
      <c r="AM16" s="1660"/>
      <c r="AN16" s="1660"/>
      <c r="AO16" s="1660"/>
      <c r="AP16" s="1660"/>
      <c r="AQ16" s="1660"/>
      <c r="AR16" s="1660"/>
      <c r="AS16" s="1660"/>
      <c r="AT16" s="1660"/>
      <c r="AU16" s="1660"/>
      <c r="AV16" s="1660"/>
      <c r="AW16" s="1660"/>
      <c r="AX16" s="1660"/>
      <c r="AY16" s="1660"/>
      <c r="AZ16" s="1660"/>
      <c r="BA16" s="1660"/>
      <c r="BB16" s="1660"/>
      <c r="BC16" s="1660"/>
      <c r="BD16" s="1660"/>
      <c r="BE16" s="1660"/>
      <c r="BF16" s="1660"/>
      <c r="BG16" s="1660"/>
      <c r="BH16" s="1660"/>
      <c r="BI16" s="1660"/>
      <c r="BJ16" s="1660"/>
      <c r="BK16" s="1660"/>
      <c r="BL16" s="1660"/>
      <c r="BM16" s="1660"/>
      <c r="BN16" s="1660"/>
      <c r="BO16" s="1660"/>
      <c r="BP16" s="1660"/>
      <c r="BQ16" s="1660"/>
      <c r="BR16" s="1660"/>
      <c r="BS16" s="1660"/>
      <c r="BT16" s="1660"/>
      <c r="BU16" s="1660"/>
      <c r="BV16" s="1660"/>
      <c r="BW16" s="1660"/>
      <c r="BX16" s="1660"/>
      <c r="BY16" s="1660"/>
    </row>
    <row customHeight="1" ht="14.25" hidden="1">
      <c r="AD17" s="1377"/>
      <c r="AE17" s="1377"/>
      <c r="AF17" s="1377"/>
      <c r="AG17" s="1378"/>
      <c r="AH17" s="2087"/>
      <c r="AI17" s="2086" t="s">
        <v>66</v>
      </c>
      <c r="AJ17" s="2087"/>
      <c r="AK17" s="2086" t="s">
        <v>66</v>
      </c>
      <c r="AL17" s="1660"/>
      <c r="AM17" s="1660"/>
      <c r="AN17" s="1660"/>
      <c r="AO17" s="1660"/>
      <c r="AP17" s="1660"/>
      <c r="AQ17" s="1660"/>
      <c r="AR17" s="1660"/>
      <c r="AS17" s="1660"/>
      <c r="AT17" s="1660"/>
      <c r="AU17" s="1660"/>
      <c r="AV17" s="1660"/>
      <c r="AW17" s="1660"/>
      <c r="AX17" s="1660"/>
      <c r="AY17" s="1660"/>
      <c r="AZ17" s="1660"/>
      <c r="BA17" s="1660"/>
      <c r="BB17" s="1660"/>
      <c r="BC17" s="1660"/>
      <c r="BD17" s="1660"/>
      <c r="BE17" s="1660"/>
      <c r="BF17" s="1660"/>
      <c r="BG17" s="1660"/>
      <c r="BH17" s="1660"/>
      <c r="BI17" s="1660"/>
      <c r="BJ17" s="1660"/>
      <c r="BK17" s="1660"/>
      <c r="BL17" s="1660"/>
      <c r="BM17" s="1660"/>
      <c r="BN17" s="1660"/>
      <c r="BO17" s="1660"/>
      <c r="BP17" s="1660"/>
      <c r="BQ17" s="1660"/>
      <c r="BR17" s="1660"/>
      <c r="BS17" s="1660"/>
      <c r="BT17" s="1660"/>
      <c r="BU17" s="1660"/>
      <c r="BV17" s="1660"/>
      <c r="BW17" s="1660"/>
      <c r="BX17" s="1660"/>
      <c r="BY17" s="1660"/>
    </row>
    <row customHeight="1" ht="14.25" hidden="1">
      <c r="AD18" s="1377"/>
      <c r="AE18" s="1377"/>
      <c r="AF18" s="1377"/>
      <c r="AG18" s="316" t="str">
        <f>AH17&amp;"-"&amp;AJ17</f>
        <v>-</v>
      </c>
      <c r="AH18" s="2086"/>
      <c r="AI18" s="2086"/>
      <c r="AJ18" s="2086"/>
      <c r="AK18" s="2086"/>
      <c r="AL18" s="1660"/>
      <c r="AM18" s="1660"/>
      <c r="AN18" s="1660"/>
      <c r="AO18" s="1660"/>
      <c r="AP18" s="1660"/>
      <c r="AQ18" s="1660"/>
      <c r="AR18" s="1660"/>
      <c r="AS18" s="1660"/>
      <c r="AT18" s="1660"/>
      <c r="AU18" s="1660"/>
      <c r="AV18" s="1660"/>
      <c r="AW18" s="1660"/>
      <c r="AX18" s="1660"/>
      <c r="AY18" s="1660"/>
      <c r="AZ18" s="1660"/>
      <c r="BA18" s="1660"/>
      <c r="BB18" s="1660"/>
      <c r="BC18" s="1660"/>
      <c r="BD18" s="1660"/>
      <c r="BE18" s="1660"/>
      <c r="BF18" s="1660"/>
      <c r="BG18" s="1660"/>
      <c r="BH18" s="1660"/>
      <c r="BI18" s="1660"/>
      <c r="BJ18" s="1660"/>
      <c r="BK18" s="1660"/>
      <c r="BL18" s="1660"/>
      <c r="BM18" s="1660"/>
      <c r="BN18" s="1660"/>
      <c r="BO18" s="1660"/>
      <c r="BP18" s="1660"/>
      <c r="BQ18" s="1660"/>
      <c r="BR18" s="1660"/>
      <c r="BS18" s="1660"/>
      <c r="BT18" s="1660"/>
      <c r="BU18" s="1660"/>
      <c r="BV18" s="1660"/>
      <c r="BW18" s="1660"/>
      <c r="BX18" s="1660"/>
      <c r="BY18" s="1660"/>
    </row>
    <row customHeight="1" ht="14.25" hidden="1">
      <c r="AK19" s="315"/>
      <c r="AL19" s="1660"/>
      <c r="AM19" s="1660"/>
      <c r="AN19" s="1660"/>
      <c r="AO19" s="1660"/>
      <c r="AP19" s="1660"/>
      <c r="AQ19" s="1660"/>
      <c r="AR19" s="1660"/>
      <c r="AS19" s="1660"/>
      <c r="AT19" s="1660"/>
      <c r="AU19" s="1660"/>
      <c r="AV19" s="1660"/>
      <c r="AW19" s="1660"/>
      <c r="AX19" s="1660"/>
      <c r="AY19" s="1660"/>
      <c r="AZ19" s="1660"/>
      <c r="BA19" s="1660"/>
      <c r="BB19" s="1660"/>
      <c r="BC19" s="1660"/>
      <c r="BD19" s="1660"/>
      <c r="BE19" s="1660"/>
      <c r="BF19" s="1660"/>
      <c r="BG19" s="1660"/>
      <c r="BH19" s="1660"/>
      <c r="BI19" s="1660"/>
      <c r="BJ19" s="1660"/>
      <c r="BK19" s="1660"/>
      <c r="BL19" s="1660"/>
      <c r="BM19" s="1660"/>
      <c r="BN19" s="1660"/>
      <c r="BO19" s="1660"/>
      <c r="BP19" s="1660"/>
      <c r="BQ19" s="1660"/>
      <c r="BR19" s="1660"/>
      <c r="BS19" s="1660"/>
      <c r="BT19" s="1660"/>
      <c r="BU19" s="1660"/>
      <c r="BV19" s="1660"/>
      <c r="BW19" s="1660"/>
      <c r="BX19" s="1660"/>
      <c r="BY19" s="1660"/>
    </row>
    <row s="1383" customFormat="1" customHeight="1" ht="22.5" hidden="1">
      <c r="L20" s="1346"/>
      <c r="M20" s="1379"/>
      <c r="N20" s="1379"/>
      <c r="O20" s="1384" t="s">
        <v>421</v>
      </c>
      <c r="P20" s="1379"/>
      <c r="Q20" s="1388"/>
      <c r="R20" s="1388"/>
      <c r="S20" s="724"/>
      <c r="Z20" s="1384"/>
      <c r="AB20" s="1384"/>
      <c r="AC20" s="1383"/>
      <c r="AH20" s="1384"/>
      <c r="AJ20" s="1384"/>
      <c r="AK20" s="1383"/>
      <c r="AL20" s="1383"/>
      <c r="AM20" s="1383"/>
      <c r="AN20" s="1383"/>
      <c r="AO20" s="1383"/>
      <c r="AP20" s="1384"/>
      <c r="AQ20" s="1383"/>
      <c r="AR20" s="1384"/>
      <c r="AS20" s="1383"/>
      <c r="AT20" s="1383"/>
      <c r="AU20" s="1383"/>
      <c r="AV20" s="1383"/>
      <c r="AW20" s="1383"/>
      <c r="AX20" s="1384"/>
      <c r="AY20" s="1383"/>
      <c r="AZ20" s="1384"/>
      <c r="BA20" s="1383"/>
      <c r="BB20" s="1383"/>
      <c r="BC20" s="1383"/>
      <c r="BD20" s="1383"/>
      <c r="BE20" s="1383"/>
      <c r="BF20" s="1384"/>
      <c r="BG20" s="1383"/>
      <c r="BH20" s="1384"/>
      <c r="BI20" s="1383"/>
      <c r="BJ20" s="1383"/>
      <c r="BK20" s="1383"/>
      <c r="BL20" s="1383"/>
      <c r="BM20" s="1383"/>
      <c r="BN20" s="1384"/>
      <c r="BO20" s="1383"/>
      <c r="BP20" s="1384"/>
      <c r="BQ20" s="1383"/>
      <c r="BR20" s="1383"/>
      <c r="BS20" s="1383"/>
      <c r="BT20" s="1383"/>
      <c r="BU20" s="1383"/>
      <c r="BV20" s="1384"/>
      <c r="BW20" s="1383"/>
      <c r="BX20" s="1384"/>
      <c r="BY20" s="1383"/>
      <c r="CB20" s="507"/>
      <c r="CC20" s="507"/>
      <c r="CD20" s="507"/>
      <c r="CE20" s="507"/>
      <c r="CF20" s="507"/>
    </row>
    <row s="1383" customFormat="1" customHeight="1" ht="14.25" hidden="1">
      <c r="L21" s="1346"/>
      <c r="M21" s="1379"/>
      <c r="N21" s="1379"/>
      <c r="O21" s="1379"/>
      <c r="P21" s="1379"/>
      <c r="Q21" s="1388"/>
      <c r="R21" s="1388"/>
      <c r="S21" s="724"/>
      <c r="AC21" s="1383"/>
      <c r="AK21" s="1383"/>
      <c r="AL21" s="1383"/>
      <c r="AM21" s="1383"/>
      <c r="AN21" s="1383"/>
      <c r="AO21" s="1383"/>
      <c r="AP21" s="1383"/>
      <c r="AQ21" s="1383"/>
      <c r="AR21" s="1383"/>
      <c r="AS21" s="1383"/>
      <c r="AT21" s="1383"/>
      <c r="AU21" s="1383"/>
      <c r="AV21" s="1383"/>
      <c r="AW21" s="1383"/>
      <c r="AX21" s="1383"/>
      <c r="AY21" s="1383"/>
      <c r="AZ21" s="1383"/>
      <c r="BA21" s="1383"/>
      <c r="BB21" s="1383"/>
      <c r="BC21" s="1383"/>
      <c r="BD21" s="1383"/>
      <c r="BE21" s="1383"/>
      <c r="BF21" s="1383"/>
      <c r="BG21" s="1383"/>
      <c r="BH21" s="1383"/>
      <c r="BI21" s="1383"/>
      <c r="BJ21" s="1383"/>
      <c r="BK21" s="1383"/>
      <c r="BL21" s="1383"/>
      <c r="BM21" s="1383"/>
      <c r="BN21" s="1383"/>
      <c r="BO21" s="1383"/>
      <c r="BP21" s="1383"/>
      <c r="BQ21" s="1383"/>
      <c r="BR21" s="1383"/>
      <c r="BS21" s="1383"/>
      <c r="BT21" s="1383"/>
      <c r="BU21" s="1383"/>
      <c r="BV21" s="1383"/>
      <c r="BW21" s="1383"/>
      <c r="BX21" s="1383"/>
      <c r="BY21" s="1383"/>
      <c r="CB21" s="507"/>
      <c r="CC21" s="507"/>
      <c r="CD21" s="507"/>
      <c r="CE21" s="507"/>
      <c r="CF21" s="507"/>
    </row>
    <row s="1383" customFormat="1" customHeight="1" ht="14.25" hidden="1">
      <c r="L22" s="1346"/>
      <c r="M22" s="1379"/>
      <c r="N22" s="1379"/>
      <c r="O22" s="1381" t="s">
        <v>422</v>
      </c>
      <c r="P22" s="1379"/>
      <c r="Q22" s="1388"/>
      <c r="R22" s="1388"/>
      <c r="S22" s="724"/>
      <c r="T22" s="1155" t="s">
        <v>423</v>
      </c>
      <c r="AA22" s="166" t="s">
        <v>424</v>
      </c>
      <c r="AC22" s="166" t="s">
        <v>425</v>
      </c>
      <c r="AD22" s="1155" t="s">
        <v>423</v>
      </c>
      <c r="AI22" s="166" t="s">
        <v>426</v>
      </c>
      <c r="AK22" s="166" t="s">
        <v>425</v>
      </c>
      <c r="AL22" s="1383"/>
      <c r="AM22" s="1383"/>
      <c r="AN22" s="1383"/>
      <c r="AO22" s="1383"/>
      <c r="AP22" s="1383"/>
      <c r="AQ22" s="1387" t="s">
        <v>424</v>
      </c>
      <c r="AR22" s="1383"/>
      <c r="AS22" s="1387" t="s">
        <v>425</v>
      </c>
      <c r="AT22" s="1383"/>
      <c r="AU22" s="1383"/>
      <c r="AV22" s="1383"/>
      <c r="AW22" s="1383"/>
      <c r="AX22" s="1383"/>
      <c r="AY22" s="1387" t="s">
        <v>424</v>
      </c>
      <c r="AZ22" s="1383"/>
      <c r="BA22" s="1387" t="s">
        <v>425</v>
      </c>
      <c r="BB22" s="1383"/>
      <c r="BC22" s="1383"/>
      <c r="BD22" s="1383"/>
      <c r="BE22" s="1383"/>
      <c r="BF22" s="1383"/>
      <c r="BG22" s="1387" t="s">
        <v>424</v>
      </c>
      <c r="BH22" s="1383"/>
      <c r="BI22" s="1387" t="s">
        <v>425</v>
      </c>
      <c r="BJ22" s="1383"/>
      <c r="BK22" s="1383"/>
      <c r="BL22" s="1383"/>
      <c r="BM22" s="1383"/>
      <c r="BN22" s="1383"/>
      <c r="BO22" s="1387" t="s">
        <v>424</v>
      </c>
      <c r="BP22" s="1383"/>
      <c r="BQ22" s="1387" t="s">
        <v>425</v>
      </c>
      <c r="BR22" s="1383"/>
      <c r="BS22" s="1383"/>
      <c r="BT22" s="1383"/>
      <c r="BU22" s="1383"/>
      <c r="BV22" s="1383"/>
      <c r="BW22" s="1387" t="s">
        <v>424</v>
      </c>
      <c r="BX22" s="1383"/>
      <c r="BY22" s="1387" t="s">
        <v>425</v>
      </c>
      <c r="CB22" s="507"/>
      <c r="CC22" s="507"/>
      <c r="CD22" s="507"/>
      <c r="CE22" s="507"/>
      <c r="CF22" s="507"/>
    </row>
    <row customHeight="1" ht="14.25" hidden="1">
      <c r="O23" s="1381"/>
      <c r="AL23" s="1660"/>
      <c r="AM23" s="1660"/>
      <c r="AN23" s="1660"/>
      <c r="AO23" s="1660"/>
      <c r="AP23" s="1660"/>
      <c r="AQ23" s="1660"/>
      <c r="AR23" s="1660"/>
      <c r="AS23" s="1660"/>
      <c r="AT23" s="1660"/>
      <c r="AU23" s="1660"/>
      <c r="AV23" s="1660"/>
      <c r="AW23" s="1660"/>
      <c r="AX23" s="1660"/>
      <c r="AY23" s="1660"/>
      <c r="AZ23" s="1660"/>
      <c r="BA23" s="1660"/>
      <c r="BB23" s="1660"/>
      <c r="BC23" s="1660"/>
      <c r="BD23" s="1660"/>
      <c r="BE23" s="1660"/>
      <c r="BF23" s="1660"/>
      <c r="BG23" s="1660"/>
      <c r="BH23" s="1660"/>
      <c r="BI23" s="1660"/>
      <c r="BJ23" s="1660"/>
      <c r="BK23" s="1660"/>
      <c r="BL23" s="1660"/>
      <c r="BM23" s="1660"/>
      <c r="BN23" s="1660"/>
      <c r="BO23" s="1660"/>
      <c r="BP23" s="1660"/>
      <c r="BQ23" s="1660"/>
      <c r="BR23" s="1660"/>
      <c r="BS23" s="1660"/>
      <c r="BT23" s="1660"/>
      <c r="BU23" s="1660"/>
      <c r="BV23" s="1660"/>
      <c r="BW23" s="1660"/>
      <c r="BX23" s="1660"/>
      <c r="BY23" s="1660"/>
    </row>
    <row customHeight="1" ht="14.25" hidden="1">
      <c r="O24" s="1381"/>
      <c r="AL24" s="1660"/>
      <c r="AM24" s="1660"/>
      <c r="AN24" s="1660"/>
      <c r="AO24" s="1660"/>
      <c r="AP24" s="1660"/>
      <c r="AQ24" s="1660"/>
      <c r="AR24" s="1660"/>
      <c r="AS24" s="1660"/>
      <c r="AT24" s="1660"/>
      <c r="AU24" s="1660"/>
      <c r="AV24" s="1660"/>
      <c r="AW24" s="1660"/>
      <c r="AX24" s="1660"/>
      <c r="AY24" s="1660"/>
      <c r="AZ24" s="1660"/>
      <c r="BA24" s="1660"/>
      <c r="BB24" s="1660"/>
      <c r="BC24" s="1660"/>
      <c r="BD24" s="1660"/>
      <c r="BE24" s="1660"/>
      <c r="BF24" s="1660"/>
      <c r="BG24" s="1660"/>
      <c r="BH24" s="1660"/>
      <c r="BI24" s="1660"/>
      <c r="BJ24" s="1660"/>
      <c r="BK24" s="1660"/>
      <c r="BL24" s="1660"/>
      <c r="BM24" s="1660"/>
      <c r="BN24" s="1660"/>
      <c r="BO24" s="1660"/>
      <c r="BP24" s="1660"/>
      <c r="BQ24" s="1660"/>
      <c r="BR24" s="1660"/>
      <c r="BS24" s="1660"/>
      <c r="BT24" s="1660"/>
      <c r="BU24" s="1660"/>
      <c r="BV24" s="1660"/>
      <c r="BW24" s="1660"/>
      <c r="BX24" s="1660"/>
      <c r="BY24" s="1660"/>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c r="AL25" s="1660"/>
      <c r="AM25" s="1660"/>
      <c r="AN25" s="1660"/>
      <c r="AO25" s="1660"/>
      <c r="AP25" s="1660"/>
      <c r="AQ25" s="1660"/>
      <c r="AR25" s="1660"/>
      <c r="AS25" s="1660"/>
      <c r="AT25" s="1660"/>
      <c r="AU25" s="1660"/>
      <c r="AV25" s="1660"/>
      <c r="AW25" s="1660"/>
      <c r="AX25" s="1660"/>
      <c r="AY25" s="1660"/>
      <c r="AZ25" s="1660"/>
      <c r="BA25" s="1660"/>
      <c r="BB25" s="1660"/>
      <c r="BC25" s="1660"/>
      <c r="BD25" s="1660"/>
      <c r="BE25" s="1660"/>
      <c r="BF25" s="1660"/>
      <c r="BG25" s="1660"/>
      <c r="BH25" s="1660"/>
      <c r="BI25" s="1660"/>
      <c r="BJ25" s="1660"/>
      <c r="BK25" s="1660"/>
      <c r="BL25" s="1660"/>
      <c r="BM25" s="1660"/>
      <c r="BN25" s="1660"/>
      <c r="BO25" s="1660"/>
      <c r="BP25" s="1660"/>
      <c r="BQ25" s="1660"/>
      <c r="BR25" s="1660"/>
      <c r="BS25" s="1660"/>
      <c r="BT25" s="1660"/>
      <c r="BU25" s="1660"/>
      <c r="BV25" s="1660"/>
      <c r="BW25" s="1660"/>
      <c r="BX25" s="1660"/>
      <c r="BY25" s="1660"/>
    </row>
    <row customHeight="1" ht="51">
      <c r="Q26" s="368"/>
      <c r="R26" s="368"/>
      <c r="S26" s="2122"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22"/>
      <c r="U26" s="2122"/>
      <c r="V26" s="2122"/>
      <c r="W26" s="2122"/>
      <c r="X26" s="2122"/>
      <c r="Y26" s="2122"/>
      <c r="Z26" s="2122"/>
      <c r="AA26" s="2122"/>
      <c r="AB26" s="2122"/>
      <c r="AC26" s="2122"/>
      <c r="AD26" s="2122"/>
      <c r="AE26" s="2122"/>
      <c r="AF26" s="2122"/>
      <c r="AG26" s="2122"/>
      <c r="AH26" s="2122"/>
      <c r="AI26" s="2122"/>
      <c r="AJ26" s="2122"/>
      <c r="AK26" s="1248"/>
      <c r="AL26" s="2122"/>
      <c r="AM26" s="2122"/>
      <c r="AN26" s="2122"/>
      <c r="AO26" s="2122"/>
      <c r="AP26" s="2122"/>
      <c r="AQ26" s="2122"/>
      <c r="AR26" s="2122"/>
      <c r="AS26" s="2122"/>
      <c r="AT26" s="2122"/>
      <c r="AU26" s="2122"/>
      <c r="AV26" s="2122"/>
      <c r="AW26" s="2122"/>
      <c r="AX26" s="2122"/>
      <c r="AY26" s="2122"/>
      <c r="AZ26" s="2122"/>
      <c r="BA26" s="2122"/>
      <c r="BB26" s="2122"/>
      <c r="BC26" s="2122"/>
      <c r="BD26" s="2122"/>
      <c r="BE26" s="2122"/>
      <c r="BF26" s="2122"/>
      <c r="BG26" s="2122"/>
      <c r="BH26" s="2122"/>
      <c r="BI26" s="2122"/>
      <c r="BJ26" s="2122"/>
      <c r="BK26" s="2122"/>
      <c r="BL26" s="2122"/>
      <c r="BM26" s="2122"/>
      <c r="BN26" s="2122"/>
      <c r="BO26" s="2122"/>
      <c r="BP26" s="2122"/>
      <c r="BQ26" s="2122"/>
      <c r="BR26" s="2122"/>
      <c r="BS26" s="2122"/>
      <c r="BT26" s="2122"/>
      <c r="BU26" s="2122"/>
      <c r="BV26" s="2122"/>
      <c r="BW26" s="2122"/>
      <c r="BX26" s="2122"/>
      <c r="BY26" s="2122"/>
    </row>
    <row customHeight="1" ht="14.25">
      <c r="Q27" s="368"/>
      <c r="R27" s="368"/>
      <c r="S27" s="2123" t="str">
        <f>IF(org=0,"Не определено",org)</f>
        <v>ООО "ПРОМ ИМПУЛЬС"</v>
      </c>
      <c r="T27" s="2123"/>
      <c r="U27" s="2123"/>
      <c r="V27" s="2123"/>
      <c r="W27" s="2123"/>
      <c r="X27" s="2123"/>
      <c r="Y27" s="2123"/>
      <c r="Z27" s="2123"/>
      <c r="AA27" s="2123"/>
      <c r="AB27" s="2123"/>
      <c r="AC27" s="2123"/>
      <c r="AD27" s="2123"/>
      <c r="AE27" s="2123"/>
      <c r="AF27" s="2123"/>
      <c r="AG27" s="2123"/>
      <c r="AH27" s="2123"/>
      <c r="AI27" s="2123"/>
      <c r="AJ27" s="2123"/>
      <c r="AK27" s="1248"/>
      <c r="AL27" s="2123"/>
      <c r="AM27" s="2123"/>
      <c r="AN27" s="2123"/>
      <c r="AO27" s="2123"/>
      <c r="AP27" s="2123"/>
      <c r="AQ27" s="2123"/>
      <c r="AR27" s="2123"/>
      <c r="AS27" s="2123"/>
      <c r="AT27" s="2123"/>
      <c r="AU27" s="2123"/>
      <c r="AV27" s="2123"/>
      <c r="AW27" s="2123"/>
      <c r="AX27" s="2123"/>
      <c r="AY27" s="2123"/>
      <c r="AZ27" s="2123"/>
      <c r="BA27" s="2123"/>
      <c r="BB27" s="2123"/>
      <c r="BC27" s="2123"/>
      <c r="BD27" s="2123"/>
      <c r="BE27" s="2123"/>
      <c r="BF27" s="2123"/>
      <c r="BG27" s="2123"/>
      <c r="BH27" s="2123"/>
      <c r="BI27" s="2123"/>
      <c r="BJ27" s="2123"/>
      <c r="BK27" s="2123"/>
      <c r="BL27" s="2123"/>
      <c r="BM27" s="2123"/>
      <c r="BN27" s="2123"/>
      <c r="BO27" s="2123"/>
      <c r="BP27" s="2123"/>
      <c r="BQ27" s="2123"/>
      <c r="BR27" s="2123"/>
      <c r="BS27" s="2123"/>
      <c r="BT27" s="2123"/>
      <c r="BU27" s="2123"/>
      <c r="BV27" s="2123"/>
      <c r="BW27" s="2123"/>
      <c r="BX27" s="2123"/>
      <c r="BY27" s="2123"/>
    </row>
    <row customHeight="1" ht="14.25">
      <c r="Q28" s="368"/>
      <c r="R28" s="368"/>
      <c r="S28" s="1292"/>
      <c r="T28" s="353"/>
      <c r="U28" s="353"/>
      <c r="V28" s="308"/>
      <c r="W28" s="308"/>
      <c r="X28" s="308"/>
      <c r="Y28" s="308"/>
      <c r="Z28" s="308"/>
      <c r="AA28" s="308"/>
      <c r="AB28" s="308"/>
      <c r="AC28" s="308"/>
      <c r="AD28" s="308"/>
      <c r="AE28" s="308"/>
      <c r="AF28" s="308"/>
      <c r="AG28" s="308"/>
      <c r="AH28" s="308"/>
      <c r="AI28" s="308"/>
      <c r="AJ28" s="308"/>
      <c r="AK28" s="308"/>
      <c r="AL28" s="308"/>
      <c r="AM28" s="308"/>
      <c r="AN28" s="308"/>
      <c r="AO28" s="308"/>
      <c r="AP28" s="308"/>
      <c r="AQ28" s="308"/>
      <c r="AR28" s="308"/>
      <c r="AS28" s="308"/>
      <c r="AT28" s="308"/>
      <c r="AU28" s="308"/>
      <c r="AV28" s="308"/>
      <c r="AW28" s="308"/>
      <c r="AX28" s="308"/>
      <c r="AY28" s="308"/>
      <c r="AZ28" s="308"/>
      <c r="BA28" s="308"/>
      <c r="BB28" s="308"/>
      <c r="BC28" s="308"/>
      <c r="BD28" s="308"/>
      <c r="BE28" s="308"/>
      <c r="BF28" s="308"/>
      <c r="BG28" s="308"/>
      <c r="BH28" s="308"/>
      <c r="BI28" s="308"/>
      <c r="BJ28" s="308"/>
      <c r="BK28" s="308"/>
      <c r="BL28" s="308"/>
      <c r="BM28" s="308"/>
      <c r="BN28" s="308"/>
      <c r="BO28" s="308"/>
      <c r="BP28" s="308"/>
      <c r="BQ28" s="308"/>
      <c r="BR28" s="308"/>
      <c r="BS28" s="308"/>
      <c r="BT28" s="308"/>
      <c r="BU28" s="308"/>
      <c r="BV28" s="308"/>
      <c r="BW28" s="308"/>
      <c r="BX28" s="308"/>
      <c r="BY28" s="308"/>
      <c r="BZ28" s="505"/>
    </row>
    <row s="1877" customFormat="1" customHeight="1" ht="25.5">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Комитет по тарифам Санкт-Петербурга</v>
      </c>
      <c r="W29" s="2082"/>
      <c r="X29" s="2082"/>
      <c r="Y29" s="2082"/>
      <c r="Z29" s="2082"/>
      <c r="AA29" s="2082"/>
      <c r="AB29" s="2082"/>
      <c r="AC29" s="314"/>
      <c r="AD29" s="2082" t="str">
        <f>IF(TITLE_NAME_OR_PR_CHANGE="",IF(TITLE_NAME_OR_PR="","",TITLE_NAME_OR_PR),TITLE_NAME_OR_PR_CHANGE)</f>
        <v>Комитет по тарифам Санкт-Петербурга</v>
      </c>
      <c r="AE29" s="2082"/>
      <c r="AF29" s="2082"/>
      <c r="AG29" s="2082"/>
      <c r="AH29" s="2082"/>
      <c r="AI29" s="2082"/>
      <c r="AJ29" s="2082"/>
      <c r="AK29" s="314"/>
      <c r="AL29" s="2082" t="str">
        <f>IF(TITLE_NAME_OR_PR_CHANGE="",IF(TITLE_NAME_OR_PR="","",TITLE_NAME_OR_PR),TITLE_NAME_OR_PR_CHANGE)</f>
        <v>Комитет по тарифам Санкт-Петербурга</v>
      </c>
      <c r="AM29" s="2082"/>
      <c r="AN29" s="2082"/>
      <c r="AO29" s="2082"/>
      <c r="AP29" s="2082"/>
      <c r="AQ29" s="2082"/>
      <c r="AR29" s="2082"/>
      <c r="AS29" s="1660"/>
      <c r="AT29" s="2082" t="str">
        <f>IF(TITLE_NAME_OR_PR_CHANGE="",IF(TITLE_NAME_OR_PR="","",TITLE_NAME_OR_PR),TITLE_NAME_OR_PR_CHANGE)</f>
        <v>Комитет по тарифам Санкт-Петербурга</v>
      </c>
      <c r="AU29" s="2082"/>
      <c r="AV29" s="2082"/>
      <c r="AW29" s="2082"/>
      <c r="AX29" s="2082"/>
      <c r="AY29" s="2082"/>
      <c r="AZ29" s="2082"/>
      <c r="BA29" s="1660"/>
      <c r="BB29" s="2082" t="str">
        <f>IF(TITLE_NAME_OR_PR_CHANGE="",IF(TITLE_NAME_OR_PR="","",TITLE_NAME_OR_PR),TITLE_NAME_OR_PR_CHANGE)</f>
        <v>Комитет по тарифам Санкт-Петербурга</v>
      </c>
      <c r="BC29" s="2082"/>
      <c r="BD29" s="2082"/>
      <c r="BE29" s="2082"/>
      <c r="BF29" s="2082"/>
      <c r="BG29" s="2082"/>
      <c r="BH29" s="2082"/>
      <c r="BI29" s="1660"/>
      <c r="BJ29" s="2082" t="str">
        <f>IF(TITLE_NAME_OR_PR_CHANGE="",IF(TITLE_NAME_OR_PR="","",TITLE_NAME_OR_PR),TITLE_NAME_OR_PR_CHANGE)</f>
        <v>Комитет по тарифам Санкт-Петербурга</v>
      </c>
      <c r="BK29" s="2082"/>
      <c r="BL29" s="2082"/>
      <c r="BM29" s="2082"/>
      <c r="BN29" s="2082"/>
      <c r="BO29" s="2082"/>
      <c r="BP29" s="2082"/>
      <c r="BQ29" s="1660"/>
      <c r="BR29" s="2082" t="str">
        <f>IF(TITLE_NAME_OR_PR_CHANGE="",IF(TITLE_NAME_OR_PR="","",TITLE_NAME_OR_PR),TITLE_NAME_OR_PR_CHANGE)</f>
        <v>Комитет по тарифам Санкт-Петербурга</v>
      </c>
      <c r="BS29" s="2082"/>
      <c r="BT29" s="2082"/>
      <c r="BU29" s="2082"/>
      <c r="BV29" s="2082"/>
      <c r="BW29" s="2082"/>
      <c r="BX29" s="2082"/>
      <c r="BY29" s="1660"/>
      <c r="BZ29" s="314"/>
      <c r="CA29" s="261"/>
      <c r="CB29" s="360"/>
      <c r="CC29" s="360"/>
      <c r="CD29" s="360"/>
      <c r="CE29" s="360"/>
      <c r="CF29" s="360"/>
    </row>
    <row s="1877" customFormat="1" customHeight="1" ht="18.75">
      <c r="A30" s="1385"/>
      <c r="B30" s="1385"/>
      <c r="C30" s="1385"/>
      <c r="D30" s="1385"/>
      <c r="E30" s="1385"/>
      <c r="F30" s="1385"/>
      <c r="G30" s="1385"/>
      <c r="H30" s="1385"/>
      <c r="I30" s="1385"/>
      <c r="J30" s="1385"/>
      <c r="K30" s="1385"/>
      <c r="L30" s="1386"/>
      <c r="M30" s="1385"/>
      <c r="N30" s="1385"/>
      <c r="O30" s="1385"/>
      <c r="S30" s="2080" t="s">
        <v>427</v>
      </c>
      <c r="T30" s="2080"/>
      <c r="U30" s="1389"/>
      <c r="V30" s="2081" t="str">
        <f>IF(TITLE_DATE_PR_CHANGE="",IF(TITLE_DATE_PR="","",TITLE_DATE_PR),TITLE_DATE_PR_CHANGE)</f>
        <v>45268.58207175926</v>
      </c>
      <c r="W30" s="2081"/>
      <c r="X30" s="2081"/>
      <c r="Y30" s="2081"/>
      <c r="Z30" s="2081"/>
      <c r="AA30" s="2081"/>
      <c r="AB30" s="2081"/>
      <c r="AC30" s="314"/>
      <c r="AD30" s="2081" t="str">
        <f>IF(TITLE_DATE_PR_CHANGE="",IF(TITLE_DATE_PR="","",TITLE_DATE_PR),TITLE_DATE_PR_CHANGE)</f>
        <v>45268.58207175926</v>
      </c>
      <c r="AE30" s="2081"/>
      <c r="AF30" s="2081"/>
      <c r="AG30" s="2081"/>
      <c r="AH30" s="2081"/>
      <c r="AI30" s="2081"/>
      <c r="AJ30" s="2081"/>
      <c r="AK30" s="314"/>
      <c r="AL30" s="2081" t="str">
        <f>IF(TITLE_DATE_PR_CHANGE="",IF(TITLE_DATE_PR="","",TITLE_DATE_PR),TITLE_DATE_PR_CHANGE)</f>
        <v>45268.58207175926</v>
      </c>
      <c r="AM30" s="2081"/>
      <c r="AN30" s="2081"/>
      <c r="AO30" s="2081"/>
      <c r="AP30" s="2081"/>
      <c r="AQ30" s="2081"/>
      <c r="AR30" s="2081"/>
      <c r="AS30" s="1660"/>
      <c r="AT30" s="2081" t="str">
        <f>IF(TITLE_DATE_PR_CHANGE="",IF(TITLE_DATE_PR="","",TITLE_DATE_PR),TITLE_DATE_PR_CHANGE)</f>
        <v>45268.58207175926</v>
      </c>
      <c r="AU30" s="2081"/>
      <c r="AV30" s="2081"/>
      <c r="AW30" s="2081"/>
      <c r="AX30" s="2081"/>
      <c r="AY30" s="2081"/>
      <c r="AZ30" s="2081"/>
      <c r="BA30" s="1660"/>
      <c r="BB30" s="2081" t="str">
        <f>IF(TITLE_DATE_PR_CHANGE="",IF(TITLE_DATE_PR="","",TITLE_DATE_PR),TITLE_DATE_PR_CHANGE)</f>
        <v>45268.58207175926</v>
      </c>
      <c r="BC30" s="2081"/>
      <c r="BD30" s="2081"/>
      <c r="BE30" s="2081"/>
      <c r="BF30" s="2081"/>
      <c r="BG30" s="2081"/>
      <c r="BH30" s="2081"/>
      <c r="BI30" s="1660"/>
      <c r="BJ30" s="2081" t="str">
        <f>IF(TITLE_DATE_PR_CHANGE="",IF(TITLE_DATE_PR="","",TITLE_DATE_PR),TITLE_DATE_PR_CHANGE)</f>
        <v>45268.58207175926</v>
      </c>
      <c r="BK30" s="2081"/>
      <c r="BL30" s="2081"/>
      <c r="BM30" s="2081"/>
      <c r="BN30" s="2081"/>
      <c r="BO30" s="2081"/>
      <c r="BP30" s="2081"/>
      <c r="BQ30" s="1660"/>
      <c r="BR30" s="2081" t="str">
        <f>IF(TITLE_DATE_PR_CHANGE="",IF(TITLE_DATE_PR="","",TITLE_DATE_PR),TITLE_DATE_PR_CHANGE)</f>
        <v>45268.58207175926</v>
      </c>
      <c r="BS30" s="2081"/>
      <c r="BT30" s="2081"/>
      <c r="BU30" s="2081"/>
      <c r="BV30" s="2081"/>
      <c r="BW30" s="2081"/>
      <c r="BX30" s="2081"/>
      <c r="BY30" s="1660"/>
      <c r="BZ30" s="314"/>
      <c r="CA30" s="261"/>
      <c r="CB30" s="360"/>
      <c r="CC30" s="360"/>
      <c r="CD30" s="360"/>
      <c r="CE30" s="360"/>
      <c r="CF30" s="360"/>
    </row>
    <row s="1877" customFormat="1" customHeight="1" ht="18.75">
      <c r="A31" s="1385"/>
      <c r="B31" s="1385"/>
      <c r="C31" s="1385"/>
      <c r="D31" s="1385"/>
      <c r="E31" s="1385"/>
      <c r="F31" s="1385"/>
      <c r="G31" s="1385"/>
      <c r="H31" s="1385"/>
      <c r="I31" s="1385"/>
      <c r="J31" s="1385"/>
      <c r="K31" s="1385"/>
      <c r="L31" s="1386"/>
      <c r="M31" s="1385"/>
      <c r="N31" s="1385"/>
      <c r="O31" s="1385"/>
      <c r="S31" s="2080" t="s">
        <v>428</v>
      </c>
      <c r="T31" s="2080"/>
      <c r="U31" s="1389"/>
      <c r="V31" s="2082" t="str">
        <f>IF(TITLE_NUMBER_PR_CHANGE="",IF(TITLE_NUMBER_PR="","",TITLE_NUMBER_PR),TITLE_NUMBER_PR_CHANGE)</f>
        <v>237-р</v>
      </c>
      <c r="W31" s="2082"/>
      <c r="X31" s="2082"/>
      <c r="Y31" s="2082"/>
      <c r="Z31" s="2082"/>
      <c r="AA31" s="2082"/>
      <c r="AB31" s="2082"/>
      <c r="AC31" s="314"/>
      <c r="AD31" s="2082" t="str">
        <f>IF(TITLE_NUMBER_PR_CHANGE="",IF(TITLE_NUMBER_PR="","",TITLE_NUMBER_PR),TITLE_NUMBER_PR_CHANGE)</f>
        <v>237-р</v>
      </c>
      <c r="AE31" s="2082"/>
      <c r="AF31" s="2082"/>
      <c r="AG31" s="2082"/>
      <c r="AH31" s="2082"/>
      <c r="AI31" s="2082"/>
      <c r="AJ31" s="2082"/>
      <c r="AK31" s="314"/>
      <c r="AL31" s="2082" t="str">
        <f>IF(TITLE_NUMBER_PR_CHANGE="",IF(TITLE_NUMBER_PR="","",TITLE_NUMBER_PR),TITLE_NUMBER_PR_CHANGE)</f>
        <v>237-р</v>
      </c>
      <c r="AM31" s="2082"/>
      <c r="AN31" s="2082"/>
      <c r="AO31" s="2082"/>
      <c r="AP31" s="2082"/>
      <c r="AQ31" s="2082"/>
      <c r="AR31" s="2082"/>
      <c r="AS31" s="1660"/>
      <c r="AT31" s="2082" t="str">
        <f>IF(TITLE_NUMBER_PR_CHANGE="",IF(TITLE_NUMBER_PR="","",TITLE_NUMBER_PR),TITLE_NUMBER_PR_CHANGE)</f>
        <v>237-р</v>
      </c>
      <c r="AU31" s="2082"/>
      <c r="AV31" s="2082"/>
      <c r="AW31" s="2082"/>
      <c r="AX31" s="2082"/>
      <c r="AY31" s="2082"/>
      <c r="AZ31" s="2082"/>
      <c r="BA31" s="1660"/>
      <c r="BB31" s="2082" t="str">
        <f>IF(TITLE_NUMBER_PR_CHANGE="",IF(TITLE_NUMBER_PR="","",TITLE_NUMBER_PR),TITLE_NUMBER_PR_CHANGE)</f>
        <v>237-р</v>
      </c>
      <c r="BC31" s="2082"/>
      <c r="BD31" s="2082"/>
      <c r="BE31" s="2082"/>
      <c r="BF31" s="2082"/>
      <c r="BG31" s="2082"/>
      <c r="BH31" s="2082"/>
      <c r="BI31" s="1660"/>
      <c r="BJ31" s="2082" t="str">
        <f>IF(TITLE_NUMBER_PR_CHANGE="",IF(TITLE_NUMBER_PR="","",TITLE_NUMBER_PR),TITLE_NUMBER_PR_CHANGE)</f>
        <v>237-р</v>
      </c>
      <c r="BK31" s="2082"/>
      <c r="BL31" s="2082"/>
      <c r="BM31" s="2082"/>
      <c r="BN31" s="2082"/>
      <c r="BO31" s="2082"/>
      <c r="BP31" s="2082"/>
      <c r="BQ31" s="1660"/>
      <c r="BR31" s="2082" t="str">
        <f>IF(TITLE_NUMBER_PR_CHANGE="",IF(TITLE_NUMBER_PR="","",TITLE_NUMBER_PR),TITLE_NUMBER_PR_CHANGE)</f>
        <v>237-р</v>
      </c>
      <c r="BS31" s="2082"/>
      <c r="BT31" s="2082"/>
      <c r="BU31" s="2082"/>
      <c r="BV31" s="2082"/>
      <c r="BW31" s="2082"/>
      <c r="BX31" s="2082"/>
      <c r="BY31" s="1660"/>
      <c r="BZ31" s="314"/>
      <c r="CA31" s="261"/>
      <c r="CB31" s="360"/>
      <c r="CC31" s="360"/>
      <c r="CD31" s="360"/>
      <c r="CE31" s="360"/>
      <c r="CF31" s="360"/>
    </row>
    <row s="1877" customFormat="1" customHeight="1" ht="18.75">
      <c r="A32" s="1385"/>
      <c r="B32" s="1385"/>
      <c r="C32" s="1385"/>
      <c r="D32" s="1385"/>
      <c r="E32" s="1385"/>
      <c r="F32" s="1385"/>
      <c r="G32" s="1385"/>
      <c r="H32" s="1385"/>
      <c r="I32" s="1385"/>
      <c r="J32" s="1385"/>
      <c r="K32" s="1385"/>
      <c r="L32" s="1386"/>
      <c r="M32" s="1385"/>
      <c r="N32" s="1385"/>
      <c r="O32" s="1385"/>
      <c r="S32" s="2080" t="s">
        <v>40</v>
      </c>
      <c r="T32" s="2080"/>
      <c r="U32" s="1389"/>
      <c r="V32" s="2082" t="str">
        <f>IF(TITLE_IST_PUB_CHANGE="",IF(TITLE_IST_PUB="","",TITLE_IST_PUB),TITLE_IST_PUB_CHANGE)</f>
        <v>https://www.gov.spb.ru/gov/otrasl/energ_kom/inform_/standarty-raskrytiya-informacii-komitetom/teplo/</v>
      </c>
      <c r="W32" s="2082"/>
      <c r="X32" s="2082"/>
      <c r="Y32" s="2082"/>
      <c r="Z32" s="2082"/>
      <c r="AA32" s="2082"/>
      <c r="AB32" s="2082"/>
      <c r="AC32" s="314"/>
      <c r="AD32" s="2082" t="str">
        <f>IF(TITLE_IST_PUB_CHANGE="",IF(TITLE_IST_PUB="","",TITLE_IST_PUB),TITLE_IST_PUB_CHANGE)</f>
        <v>https://www.gov.spb.ru/gov/otrasl/energ_kom/inform_/standarty-raskrytiya-informacii-komitetom/teplo/</v>
      </c>
      <c r="AE32" s="2082"/>
      <c r="AF32" s="2082"/>
      <c r="AG32" s="2082"/>
      <c r="AH32" s="2082"/>
      <c r="AI32" s="2082"/>
      <c r="AJ32" s="2082"/>
      <c r="AK32" s="314"/>
      <c r="AL32" s="2082" t="str">
        <f>IF(TITLE_IST_PUB_CHANGE="",IF(TITLE_IST_PUB="","",TITLE_IST_PUB),TITLE_IST_PUB_CHANGE)</f>
        <v>https://www.gov.spb.ru/gov/otrasl/energ_kom/inform_/standarty-raskrytiya-informacii-komitetom/teplo/</v>
      </c>
      <c r="AM32" s="2082"/>
      <c r="AN32" s="2082"/>
      <c r="AO32" s="2082"/>
      <c r="AP32" s="2082"/>
      <c r="AQ32" s="2082"/>
      <c r="AR32" s="2082"/>
      <c r="AS32" s="1660"/>
      <c r="AT32" s="2082" t="str">
        <f>IF(TITLE_IST_PUB_CHANGE="",IF(TITLE_IST_PUB="","",TITLE_IST_PUB),TITLE_IST_PUB_CHANGE)</f>
        <v>https://www.gov.spb.ru/gov/otrasl/energ_kom/inform_/standarty-raskrytiya-informacii-komitetom/teplo/</v>
      </c>
      <c r="AU32" s="2082"/>
      <c r="AV32" s="2082"/>
      <c r="AW32" s="2082"/>
      <c r="AX32" s="2082"/>
      <c r="AY32" s="2082"/>
      <c r="AZ32" s="2082"/>
      <c r="BA32" s="1660"/>
      <c r="BB32" s="2082" t="str">
        <f>IF(TITLE_IST_PUB_CHANGE="",IF(TITLE_IST_PUB="","",TITLE_IST_PUB),TITLE_IST_PUB_CHANGE)</f>
        <v>https://www.gov.spb.ru/gov/otrasl/energ_kom/inform_/standarty-raskrytiya-informacii-komitetom/teplo/</v>
      </c>
      <c r="BC32" s="2082"/>
      <c r="BD32" s="2082"/>
      <c r="BE32" s="2082"/>
      <c r="BF32" s="2082"/>
      <c r="BG32" s="2082"/>
      <c r="BH32" s="2082"/>
      <c r="BI32" s="1660"/>
      <c r="BJ32" s="2082" t="str">
        <f>IF(TITLE_IST_PUB_CHANGE="",IF(TITLE_IST_PUB="","",TITLE_IST_PUB),TITLE_IST_PUB_CHANGE)</f>
        <v>https://www.gov.spb.ru/gov/otrasl/energ_kom/inform_/standarty-raskrytiya-informacii-komitetom/teplo/</v>
      </c>
      <c r="BK32" s="2082"/>
      <c r="BL32" s="2082"/>
      <c r="BM32" s="2082"/>
      <c r="BN32" s="2082"/>
      <c r="BO32" s="2082"/>
      <c r="BP32" s="2082"/>
      <c r="BQ32" s="1660"/>
      <c r="BR32" s="2082" t="str">
        <f>IF(TITLE_IST_PUB_CHANGE="",IF(TITLE_IST_PUB="","",TITLE_IST_PUB),TITLE_IST_PUB_CHANGE)</f>
        <v>https://www.gov.spb.ru/gov/otrasl/energ_kom/inform_/standarty-raskrytiya-informacii-komitetom/teplo/</v>
      </c>
      <c r="BS32" s="2082"/>
      <c r="BT32" s="2082"/>
      <c r="BU32" s="2082"/>
      <c r="BV32" s="2082"/>
      <c r="BW32" s="2082"/>
      <c r="BX32" s="2082"/>
      <c r="BY32" s="1660"/>
      <c r="BZ32" s="314"/>
      <c r="CA32" s="261"/>
      <c r="CB32" s="360"/>
      <c r="CC32" s="360"/>
      <c r="CD32" s="360"/>
      <c r="CE32" s="360"/>
      <c r="CF32" s="360"/>
    </row>
    <row customHeight="1" ht="14.25" hidden="1">
      <c r="Q33" s="368"/>
      <c r="R33" s="368"/>
      <c r="S33" s="1292"/>
      <c r="T33" s="353"/>
      <c r="U33" s="353"/>
      <c r="V33" s="308"/>
      <c r="W33" s="308"/>
      <c r="X33" s="308"/>
      <c r="Y33" s="308"/>
      <c r="Z33" s="308"/>
      <c r="AA33" s="308"/>
      <c r="AB33" s="308"/>
      <c r="AC33" s="308"/>
      <c r="AD33" s="308"/>
      <c r="AE33" s="308"/>
      <c r="AF33" s="308"/>
      <c r="AG33" s="308"/>
      <c r="AH33" s="308"/>
      <c r="AI33" s="308"/>
      <c r="AJ33" s="308"/>
      <c r="AK33" s="308"/>
      <c r="AL33" s="308"/>
      <c r="AM33" s="308"/>
      <c r="AN33" s="308"/>
      <c r="AO33" s="308"/>
      <c r="AP33" s="308"/>
      <c r="AQ33" s="308"/>
      <c r="AR33" s="308"/>
      <c r="AS33" s="308"/>
      <c r="AT33" s="308"/>
      <c r="AU33" s="308"/>
      <c r="AV33" s="308"/>
      <c r="AW33" s="308"/>
      <c r="AX33" s="308"/>
      <c r="AY33" s="308"/>
      <c r="AZ33" s="308"/>
      <c r="BA33" s="308"/>
      <c r="BB33" s="308"/>
      <c r="BC33" s="308"/>
      <c r="BD33" s="308"/>
      <c r="BE33" s="308"/>
      <c r="BF33" s="308"/>
      <c r="BG33" s="308"/>
      <c r="BH33" s="308"/>
      <c r="BI33" s="308"/>
      <c r="BJ33" s="308"/>
      <c r="BK33" s="308"/>
      <c r="BL33" s="308"/>
      <c r="BM33" s="308"/>
      <c r="BN33" s="308"/>
      <c r="BO33" s="308"/>
      <c r="BP33" s="308"/>
      <c r="BQ33" s="308"/>
      <c r="BR33" s="308"/>
      <c r="BS33" s="308"/>
      <c r="BT33" s="308"/>
      <c r="BU33" s="308"/>
      <c r="BV33" s="308"/>
      <c r="BW33" s="308"/>
      <c r="BX33" s="308"/>
      <c r="BY33" s="308"/>
      <c r="BZ33" s="505"/>
    </row>
    <row s="1877" customFormat="1" customHeight="1" ht="18.75" hidden="1">
      <c r="A34" s="1385"/>
      <c r="B34" s="1385"/>
      <c r="C34" s="1385"/>
      <c r="D34" s="1385"/>
      <c r="E34" s="1385"/>
      <c r="F34" s="1385"/>
      <c r="G34" s="1385"/>
      <c r="H34" s="1385"/>
      <c r="I34" s="1385"/>
      <c r="J34" s="1385"/>
      <c r="K34" s="1385"/>
      <c r="L34" s="1386"/>
      <c r="M34" s="1385"/>
      <c r="N34" s="1385"/>
      <c r="O34" s="1385"/>
      <c r="S34" s="2080" t="s">
        <v>429</v>
      </c>
      <c r="T34" s="2080"/>
      <c r="U34" s="1389"/>
      <c r="V34" s="2081" t="str">
        <f>IF(TITLE_DATE_PR_CHANGE="",IF(TITLE_DATE_PR="","",TITLE_DATE_PR),TITLE_DATE_PR_CHANGE)</f>
        <v>45268.58207175926</v>
      </c>
      <c r="W34" s="2081"/>
      <c r="X34" s="2081"/>
      <c r="Y34" s="2081"/>
      <c r="Z34" s="2081"/>
      <c r="AA34" s="2081"/>
      <c r="AB34" s="2081"/>
      <c r="AC34" s="314"/>
      <c r="AD34" s="2081" t="str">
        <f>IF(TITLE_DATE_PR_CHANGE="",IF(TITLE_DATE_PR="","",TITLE_DATE_PR),TITLE_DATE_PR_CHANGE)</f>
        <v>45268.58207175926</v>
      </c>
      <c r="AE34" s="2081"/>
      <c r="AF34" s="2081"/>
      <c r="AG34" s="2081"/>
      <c r="AH34" s="2081"/>
      <c r="AI34" s="2081"/>
      <c r="AJ34" s="2081"/>
      <c r="AK34" s="314"/>
      <c r="AL34" s="2081" t="str">
        <f>IF(TITLE_DATE_PR_CHANGE="",IF(TITLE_DATE_PR="","",TITLE_DATE_PR),TITLE_DATE_PR_CHANGE)</f>
        <v>45268.58207175926</v>
      </c>
      <c r="AM34" s="2081"/>
      <c r="AN34" s="2081"/>
      <c r="AO34" s="2081"/>
      <c r="AP34" s="2081"/>
      <c r="AQ34" s="2081"/>
      <c r="AR34" s="2081"/>
      <c r="AS34" s="1660"/>
      <c r="AT34" s="2081" t="str">
        <f>IF(TITLE_DATE_PR_CHANGE="",IF(TITLE_DATE_PR="","",TITLE_DATE_PR),TITLE_DATE_PR_CHANGE)</f>
        <v>45268.58207175926</v>
      </c>
      <c r="AU34" s="2081"/>
      <c r="AV34" s="2081"/>
      <c r="AW34" s="2081"/>
      <c r="AX34" s="2081"/>
      <c r="AY34" s="2081"/>
      <c r="AZ34" s="2081"/>
      <c r="BA34" s="1660"/>
      <c r="BB34" s="2081" t="str">
        <f>IF(TITLE_DATE_PR_CHANGE="",IF(TITLE_DATE_PR="","",TITLE_DATE_PR),TITLE_DATE_PR_CHANGE)</f>
        <v>45268.58207175926</v>
      </c>
      <c r="BC34" s="2081"/>
      <c r="BD34" s="2081"/>
      <c r="BE34" s="2081"/>
      <c r="BF34" s="2081"/>
      <c r="BG34" s="2081"/>
      <c r="BH34" s="2081"/>
      <c r="BI34" s="1660"/>
      <c r="BJ34" s="2081" t="str">
        <f>IF(TITLE_DATE_PR_CHANGE="",IF(TITLE_DATE_PR="","",TITLE_DATE_PR),TITLE_DATE_PR_CHANGE)</f>
        <v>45268.58207175926</v>
      </c>
      <c r="BK34" s="2081"/>
      <c r="BL34" s="2081"/>
      <c r="BM34" s="2081"/>
      <c r="BN34" s="2081"/>
      <c r="BO34" s="2081"/>
      <c r="BP34" s="2081"/>
      <c r="BQ34" s="1660"/>
      <c r="BR34" s="2081" t="str">
        <f>IF(TITLE_DATE_PR_CHANGE="",IF(TITLE_DATE_PR="","",TITLE_DATE_PR),TITLE_DATE_PR_CHANGE)</f>
        <v>45268.58207175926</v>
      </c>
      <c r="BS34" s="2081"/>
      <c r="BT34" s="2081"/>
      <c r="BU34" s="2081"/>
      <c r="BV34" s="2081"/>
      <c r="BW34" s="2081"/>
      <c r="BX34" s="2081"/>
      <c r="BY34" s="1660"/>
      <c r="BZ34" s="314"/>
      <c r="CA34" s="261"/>
      <c r="CB34" s="360"/>
      <c r="CC34" s="360"/>
      <c r="CD34" s="360"/>
      <c r="CE34" s="360"/>
      <c r="CF34" s="360"/>
    </row>
    <row s="1877" customFormat="1" customHeight="1" ht="18.75" hidden="1">
      <c r="A35" s="1385"/>
      <c r="B35" s="1385"/>
      <c r="C35" s="1385"/>
      <c r="D35" s="1385"/>
      <c r="E35" s="1385"/>
      <c r="F35" s="1385"/>
      <c r="G35" s="1385"/>
      <c r="H35" s="1385"/>
      <c r="I35" s="1385"/>
      <c r="J35" s="1385"/>
      <c r="K35" s="1385"/>
      <c r="L35" s="1386"/>
      <c r="M35" s="1385"/>
      <c r="N35" s="1385"/>
      <c r="O35" s="1385"/>
      <c r="S35" s="2080" t="s">
        <v>430</v>
      </c>
      <c r="T35" s="2080"/>
      <c r="U35" s="1389"/>
      <c r="V35" s="2082" t="str">
        <f>IF(TITLE_NUMBER_PR_CHANGE="",IF(TITLE_NUMBER_PR="","",TITLE_NUMBER_PR),TITLE_NUMBER_PR_CHANGE)</f>
        <v>237-р</v>
      </c>
      <c r="W35" s="2082"/>
      <c r="X35" s="2082"/>
      <c r="Y35" s="2082"/>
      <c r="Z35" s="2082"/>
      <c r="AA35" s="2082"/>
      <c r="AB35" s="2082"/>
      <c r="AC35" s="314"/>
      <c r="AD35" s="2082" t="str">
        <f>IF(TITLE_NUMBER_PR_CHANGE="",IF(TITLE_NUMBER_PR="","",TITLE_NUMBER_PR),TITLE_NUMBER_PR_CHANGE)</f>
        <v>237-р</v>
      </c>
      <c r="AE35" s="2082"/>
      <c r="AF35" s="2082"/>
      <c r="AG35" s="2082"/>
      <c r="AH35" s="2082"/>
      <c r="AI35" s="2082"/>
      <c r="AJ35" s="2082"/>
      <c r="AK35" s="314"/>
      <c r="AL35" s="2082" t="str">
        <f>IF(TITLE_NUMBER_PR_CHANGE="",IF(TITLE_NUMBER_PR="","",TITLE_NUMBER_PR),TITLE_NUMBER_PR_CHANGE)</f>
        <v>237-р</v>
      </c>
      <c r="AM35" s="2082"/>
      <c r="AN35" s="2082"/>
      <c r="AO35" s="2082"/>
      <c r="AP35" s="2082"/>
      <c r="AQ35" s="2082"/>
      <c r="AR35" s="2082"/>
      <c r="AS35" s="1660"/>
      <c r="AT35" s="2082" t="str">
        <f>IF(TITLE_NUMBER_PR_CHANGE="",IF(TITLE_NUMBER_PR="","",TITLE_NUMBER_PR),TITLE_NUMBER_PR_CHANGE)</f>
        <v>237-р</v>
      </c>
      <c r="AU35" s="2082"/>
      <c r="AV35" s="2082"/>
      <c r="AW35" s="2082"/>
      <c r="AX35" s="2082"/>
      <c r="AY35" s="2082"/>
      <c r="AZ35" s="2082"/>
      <c r="BA35" s="1660"/>
      <c r="BB35" s="2082" t="str">
        <f>IF(TITLE_NUMBER_PR_CHANGE="",IF(TITLE_NUMBER_PR="","",TITLE_NUMBER_PR),TITLE_NUMBER_PR_CHANGE)</f>
        <v>237-р</v>
      </c>
      <c r="BC35" s="2082"/>
      <c r="BD35" s="2082"/>
      <c r="BE35" s="2082"/>
      <c r="BF35" s="2082"/>
      <c r="BG35" s="2082"/>
      <c r="BH35" s="2082"/>
      <c r="BI35" s="1660"/>
      <c r="BJ35" s="2082" t="str">
        <f>IF(TITLE_NUMBER_PR_CHANGE="",IF(TITLE_NUMBER_PR="","",TITLE_NUMBER_PR),TITLE_NUMBER_PR_CHANGE)</f>
        <v>237-р</v>
      </c>
      <c r="BK35" s="2082"/>
      <c r="BL35" s="2082"/>
      <c r="BM35" s="2082"/>
      <c r="BN35" s="2082"/>
      <c r="BO35" s="2082"/>
      <c r="BP35" s="2082"/>
      <c r="BQ35" s="1660"/>
      <c r="BR35" s="2082" t="str">
        <f>IF(TITLE_NUMBER_PR_CHANGE="",IF(TITLE_NUMBER_PR="","",TITLE_NUMBER_PR),TITLE_NUMBER_PR_CHANGE)</f>
        <v>237-р</v>
      </c>
      <c r="BS35" s="2082"/>
      <c r="BT35" s="2082"/>
      <c r="BU35" s="2082"/>
      <c r="BV35" s="2082"/>
      <c r="BW35" s="2082"/>
      <c r="BX35" s="2082"/>
      <c r="BY35" s="1660"/>
      <c r="BZ35" s="314"/>
      <c r="CA35" s="261"/>
      <c r="CB35" s="360"/>
      <c r="CC35" s="360"/>
      <c r="CD35" s="360"/>
      <c r="CE35" s="360"/>
      <c r="CF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431</v>
      </c>
      <c r="AD36" s="314"/>
      <c r="AE36" s="314"/>
      <c r="AF36" s="314"/>
      <c r="AG36" s="314"/>
      <c r="AH36" s="314"/>
      <c r="AI36" s="314"/>
      <c r="AJ36" s="314"/>
      <c r="AK36" s="259" t="s">
        <v>431</v>
      </c>
      <c r="AL36" s="1660"/>
      <c r="AM36" s="1660"/>
      <c r="AN36" s="1660"/>
      <c r="AO36" s="1660"/>
      <c r="AP36" s="1660"/>
      <c r="AQ36" s="1660"/>
      <c r="AR36" s="1660"/>
      <c r="AS36" s="1667" t="s">
        <v>431</v>
      </c>
      <c r="AT36" s="1660"/>
      <c r="AU36" s="1660"/>
      <c r="AV36" s="1660"/>
      <c r="AW36" s="1660"/>
      <c r="AX36" s="1660"/>
      <c r="AY36" s="1660"/>
      <c r="AZ36" s="1660"/>
      <c r="BA36" s="1667" t="s">
        <v>431</v>
      </c>
      <c r="BB36" s="1660"/>
      <c r="BC36" s="1660"/>
      <c r="BD36" s="1660"/>
      <c r="BE36" s="1660"/>
      <c r="BF36" s="1660"/>
      <c r="BG36" s="1660"/>
      <c r="BH36" s="1660"/>
      <c r="BI36" s="1667" t="s">
        <v>431</v>
      </c>
      <c r="BJ36" s="1660"/>
      <c r="BK36" s="1660"/>
      <c r="BL36" s="1660"/>
      <c r="BM36" s="1660"/>
      <c r="BN36" s="1660"/>
      <c r="BO36" s="1660"/>
      <c r="BP36" s="1660"/>
      <c r="BQ36" s="1667" t="s">
        <v>431</v>
      </c>
      <c r="BR36" s="1660"/>
      <c r="BS36" s="1660"/>
      <c r="BT36" s="1660"/>
      <c r="BU36" s="1660"/>
      <c r="BV36" s="1660"/>
      <c r="BW36" s="1660"/>
      <c r="BX36" s="1660"/>
      <c r="BY36" s="1667" t="s">
        <v>431</v>
      </c>
      <c r="CB36" s="360"/>
      <c r="CC36" s="360"/>
      <c r="CD36" s="360"/>
      <c r="CE36" s="360"/>
      <c r="CF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c r="AL37" s="2106" t="s">
        <v>169</v>
      </c>
      <c r="AM37" s="2106"/>
      <c r="AN37" s="2106"/>
      <c r="AO37" s="2106"/>
      <c r="AP37" s="2106"/>
      <c r="AQ37" s="2106"/>
      <c r="AR37" s="2106"/>
      <c r="AS37" s="2106"/>
      <c r="AT37" s="2106" t="s">
        <v>169</v>
      </c>
      <c r="AU37" s="2106"/>
      <c r="AV37" s="2106"/>
      <c r="AW37" s="2106"/>
      <c r="AX37" s="2106"/>
      <c r="AY37" s="2106"/>
      <c r="AZ37" s="2106"/>
      <c r="BA37" s="2106"/>
      <c r="BB37" s="2106" t="s">
        <v>169</v>
      </c>
      <c r="BC37" s="2106"/>
      <c r="BD37" s="2106"/>
      <c r="BE37" s="2106"/>
      <c r="BF37" s="2106"/>
      <c r="BG37" s="2106"/>
      <c r="BH37" s="2106"/>
      <c r="BI37" s="2106"/>
      <c r="BJ37" s="2106" t="s">
        <v>169</v>
      </c>
      <c r="BK37" s="2106"/>
      <c r="BL37" s="2106"/>
      <c r="BM37" s="2106"/>
      <c r="BN37" s="2106"/>
      <c r="BO37" s="2106"/>
      <c r="BP37" s="2106"/>
      <c r="BQ37" s="2106"/>
      <c r="BR37" s="2106" t="s">
        <v>169</v>
      </c>
      <c r="BS37" s="2106"/>
      <c r="BT37" s="2106"/>
      <c r="BU37" s="2106"/>
      <c r="BV37" s="2106"/>
      <c r="BW37" s="2106"/>
      <c r="BX37" s="2106"/>
      <c r="BY37" s="2106"/>
    </row>
    <row customHeight="1" ht="14.25">
      <c r="Q38" s="368"/>
      <c r="R38" s="368"/>
      <c r="S38" s="1953" t="s">
        <v>305</v>
      </c>
      <c r="T38" s="1953"/>
      <c r="U38" s="1953"/>
      <c r="V38" s="1953"/>
      <c r="W38" s="1953"/>
      <c r="X38" s="1953"/>
      <c r="Y38" s="1953"/>
      <c r="Z38" s="1953"/>
      <c r="AA38" s="1953"/>
      <c r="AB38" s="1953"/>
      <c r="AC38" s="1953"/>
      <c r="AD38" s="1953"/>
      <c r="AE38" s="1953"/>
      <c r="AF38" s="1953"/>
      <c r="AG38" s="1953"/>
      <c r="AH38" s="1953"/>
      <c r="AI38" s="1953"/>
      <c r="AJ38" s="1953"/>
      <c r="AK38" s="1953"/>
      <c r="AL38" s="2017" t="s">
        <v>305</v>
      </c>
      <c r="AM38" s="2017"/>
      <c r="AN38" s="2017"/>
      <c r="AO38" s="2017"/>
      <c r="AP38" s="2017"/>
      <c r="AQ38" s="2017"/>
      <c r="AR38" s="2017"/>
      <c r="AS38" s="2017"/>
      <c r="AT38" s="2017" t="s">
        <v>305</v>
      </c>
      <c r="AU38" s="2017"/>
      <c r="AV38" s="2017"/>
      <c r="AW38" s="2017"/>
      <c r="AX38" s="2017"/>
      <c r="AY38" s="2017"/>
      <c r="AZ38" s="2017"/>
      <c r="BA38" s="2017"/>
      <c r="BB38" s="2017" t="s">
        <v>305</v>
      </c>
      <c r="BC38" s="2017"/>
      <c r="BD38" s="2017"/>
      <c r="BE38" s="2017"/>
      <c r="BF38" s="2017"/>
      <c r="BG38" s="2017"/>
      <c r="BH38" s="2017"/>
      <c r="BI38" s="2017"/>
      <c r="BJ38" s="2017" t="s">
        <v>305</v>
      </c>
      <c r="BK38" s="2017"/>
      <c r="BL38" s="2017"/>
      <c r="BM38" s="2017"/>
      <c r="BN38" s="2017"/>
      <c r="BO38" s="2017"/>
      <c r="BP38" s="2017"/>
      <c r="BQ38" s="2017"/>
      <c r="BR38" s="2017" t="s">
        <v>305</v>
      </c>
      <c r="BS38" s="2017"/>
      <c r="BT38" s="2017"/>
      <c r="BU38" s="2017"/>
      <c r="BV38" s="2017"/>
      <c r="BW38" s="2017"/>
      <c r="BX38" s="2017"/>
      <c r="BY38" s="2017"/>
      <c r="BZ38" s="1953"/>
      <c r="CA38" s="1953"/>
    </row>
    <row customHeight="1" ht="14.25">
      <c r="Q39" s="368"/>
      <c r="R39" s="368"/>
      <c r="S39" s="2107" t="s">
        <v>87</v>
      </c>
      <c r="T39" s="2044" t="s">
        <v>432</v>
      </c>
      <c r="U39" s="281"/>
      <c r="V39" s="2108" t="s">
        <v>433</v>
      </c>
      <c r="W39" s="2109"/>
      <c r="X39" s="2109"/>
      <c r="Y39" s="2109"/>
      <c r="Z39" s="2109"/>
      <c r="AA39" s="2109"/>
      <c r="AB39" s="2110"/>
      <c r="AC39" s="2111" t="s">
        <v>434</v>
      </c>
      <c r="AD39" s="2108" t="s">
        <v>433</v>
      </c>
      <c r="AE39" s="2109"/>
      <c r="AF39" s="2109"/>
      <c r="AG39" s="2109"/>
      <c r="AH39" s="2109"/>
      <c r="AI39" s="2109"/>
      <c r="AJ39" s="2110"/>
      <c r="AK39" s="2111" t="s">
        <v>435</v>
      </c>
      <c r="AL39" s="2224" t="s">
        <v>433</v>
      </c>
      <c r="AM39" s="2225"/>
      <c r="AN39" s="2225"/>
      <c r="AO39" s="2225"/>
      <c r="AP39" s="2225"/>
      <c r="AQ39" s="2225"/>
      <c r="AR39" s="2226"/>
      <c r="AS39" s="2111" t="s">
        <v>434</v>
      </c>
      <c r="AT39" s="2224" t="s">
        <v>433</v>
      </c>
      <c r="AU39" s="2225"/>
      <c r="AV39" s="2225"/>
      <c r="AW39" s="2225"/>
      <c r="AX39" s="2225"/>
      <c r="AY39" s="2225"/>
      <c r="AZ39" s="2226"/>
      <c r="BA39" s="2111" t="s">
        <v>434</v>
      </c>
      <c r="BB39" s="2224" t="s">
        <v>433</v>
      </c>
      <c r="BC39" s="2225"/>
      <c r="BD39" s="2225"/>
      <c r="BE39" s="2225"/>
      <c r="BF39" s="2225"/>
      <c r="BG39" s="2225"/>
      <c r="BH39" s="2226"/>
      <c r="BI39" s="2111" t="s">
        <v>434</v>
      </c>
      <c r="BJ39" s="2224" t="s">
        <v>433</v>
      </c>
      <c r="BK39" s="2225"/>
      <c r="BL39" s="2225"/>
      <c r="BM39" s="2225"/>
      <c r="BN39" s="2225"/>
      <c r="BO39" s="2225"/>
      <c r="BP39" s="2226"/>
      <c r="BQ39" s="2111" t="s">
        <v>434</v>
      </c>
      <c r="BR39" s="2224" t="s">
        <v>433</v>
      </c>
      <c r="BS39" s="2225"/>
      <c r="BT39" s="2225"/>
      <c r="BU39" s="2225"/>
      <c r="BV39" s="2225"/>
      <c r="BW39" s="2225"/>
      <c r="BX39" s="2226"/>
      <c r="BY39" s="2111" t="s">
        <v>434</v>
      </c>
      <c r="BZ39" s="2114" t="s">
        <v>436</v>
      </c>
      <c r="CA39" s="1953"/>
    </row>
    <row customHeight="1" ht="33.75">
      <c r="Q40" s="368"/>
      <c r="R40" s="368"/>
      <c r="S40" s="2107"/>
      <c r="T40" s="2044"/>
      <c r="U40" s="1026"/>
      <c r="V40" s="2117" t="s">
        <v>437</v>
      </c>
      <c r="W40" s="2098"/>
      <c r="X40" s="2100" t="s">
        <v>439</v>
      </c>
      <c r="Y40" s="2102"/>
      <c r="Z40" s="2100" t="s">
        <v>440</v>
      </c>
      <c r="AA40" s="2101"/>
      <c r="AB40" s="2102"/>
      <c r="AC40" s="2112"/>
      <c r="AD40" s="2117" t="s">
        <v>437</v>
      </c>
      <c r="AE40" s="2098"/>
      <c r="AF40" s="2100" t="s">
        <v>439</v>
      </c>
      <c r="AG40" s="2102"/>
      <c r="AH40" s="2100" t="s">
        <v>440</v>
      </c>
      <c r="AI40" s="2101"/>
      <c r="AJ40" s="2102"/>
      <c r="AK40" s="2112"/>
      <c r="AL40" s="2015" t="s">
        <v>437</v>
      </c>
      <c r="AM40" s="2567"/>
      <c r="AN40" s="1937" t="s">
        <v>439</v>
      </c>
      <c r="AO40" s="1939"/>
      <c r="AP40" s="1937" t="s">
        <v>440</v>
      </c>
      <c r="AQ40" s="2016"/>
      <c r="AR40" s="1939"/>
      <c r="AS40" s="2112"/>
      <c r="AT40" s="2015" t="s">
        <v>437</v>
      </c>
      <c r="AU40" s="2567"/>
      <c r="AV40" s="1937" t="s">
        <v>439</v>
      </c>
      <c r="AW40" s="1939"/>
      <c r="AX40" s="1937" t="s">
        <v>440</v>
      </c>
      <c r="AY40" s="2016"/>
      <c r="AZ40" s="1939"/>
      <c r="BA40" s="2112"/>
      <c r="BB40" s="2015" t="s">
        <v>437</v>
      </c>
      <c r="BC40" s="2567"/>
      <c r="BD40" s="1937" t="s">
        <v>439</v>
      </c>
      <c r="BE40" s="1939"/>
      <c r="BF40" s="1937" t="s">
        <v>440</v>
      </c>
      <c r="BG40" s="2016"/>
      <c r="BH40" s="1939"/>
      <c r="BI40" s="2112"/>
      <c r="BJ40" s="2015" t="s">
        <v>437</v>
      </c>
      <c r="BK40" s="2567"/>
      <c r="BL40" s="1937" t="s">
        <v>439</v>
      </c>
      <c r="BM40" s="1939"/>
      <c r="BN40" s="1937" t="s">
        <v>440</v>
      </c>
      <c r="BO40" s="2016"/>
      <c r="BP40" s="1939"/>
      <c r="BQ40" s="2112"/>
      <c r="BR40" s="2015" t="s">
        <v>437</v>
      </c>
      <c r="BS40" s="2567"/>
      <c r="BT40" s="1937" t="s">
        <v>439</v>
      </c>
      <c r="BU40" s="1939"/>
      <c r="BV40" s="1937" t="s">
        <v>440</v>
      </c>
      <c r="BW40" s="2016"/>
      <c r="BX40" s="1939"/>
      <c r="BY40" s="2112"/>
      <c r="BZ40" s="2115"/>
      <c r="CA40" s="1953"/>
    </row>
    <row customHeight="1" ht="33.75">
      <c r="A41" s="1387"/>
      <c r="B41" s="1387" t="s">
        <v>134</v>
      </c>
      <c r="C41" s="1387" t="s">
        <v>135</v>
      </c>
      <c r="D41" s="1387" t="s">
        <v>136</v>
      </c>
      <c r="E41" s="1381" t="s">
        <v>441</v>
      </c>
      <c r="F41" s="1381" t="s">
        <v>442</v>
      </c>
      <c r="G41" s="1381" t="s">
        <v>443</v>
      </c>
      <c r="H41" s="1381" t="s">
        <v>444</v>
      </c>
      <c r="I41" s="1381" t="s">
        <v>445</v>
      </c>
      <c r="J41" s="1381" t="s">
        <v>446</v>
      </c>
      <c r="K41" s="1381" t="s">
        <v>447</v>
      </c>
      <c r="L41" s="1381" t="s">
        <v>422</v>
      </c>
      <c r="Q41" s="368"/>
      <c r="R41" s="368"/>
      <c r="S41" s="2107"/>
      <c r="T41" s="2044"/>
      <c r="U41" s="282"/>
      <c r="V41" s="2118"/>
      <c r="W41" s="2099"/>
      <c r="X41" s="1224" t="s">
        <v>448</v>
      </c>
      <c r="Y41" s="1224" t="s">
        <v>449</v>
      </c>
      <c r="Z41" s="1355" t="s">
        <v>450</v>
      </c>
      <c r="AA41" s="2103" t="s">
        <v>451</v>
      </c>
      <c r="AB41" s="2104"/>
      <c r="AC41" s="2113"/>
      <c r="AD41" s="2118"/>
      <c r="AE41" s="2099"/>
      <c r="AF41" s="1224" t="s">
        <v>448</v>
      </c>
      <c r="AG41" s="1224" t="s">
        <v>449</v>
      </c>
      <c r="AH41" s="1355" t="s">
        <v>450</v>
      </c>
      <c r="AI41" s="2103" t="s">
        <v>451</v>
      </c>
      <c r="AJ41" s="2104"/>
      <c r="AK41" s="2113"/>
      <c r="AL41" s="2072"/>
      <c r="AM41" s="797"/>
      <c r="AN41" s="2360" t="s">
        <v>448</v>
      </c>
      <c r="AO41" s="2360" t="s">
        <v>449</v>
      </c>
      <c r="AP41" s="2360" t="s">
        <v>450</v>
      </c>
      <c r="AQ41" s="2050" t="s">
        <v>451</v>
      </c>
      <c r="AR41" s="2066"/>
      <c r="AS41" s="2113"/>
      <c r="AT41" s="2072"/>
      <c r="AU41" s="797"/>
      <c r="AV41" s="2360" t="s">
        <v>448</v>
      </c>
      <c r="AW41" s="2360" t="s">
        <v>449</v>
      </c>
      <c r="AX41" s="2360" t="s">
        <v>450</v>
      </c>
      <c r="AY41" s="2050" t="s">
        <v>451</v>
      </c>
      <c r="AZ41" s="2066"/>
      <c r="BA41" s="2113"/>
      <c r="BB41" s="2072"/>
      <c r="BC41" s="797"/>
      <c r="BD41" s="2360" t="s">
        <v>448</v>
      </c>
      <c r="BE41" s="2360" t="s">
        <v>449</v>
      </c>
      <c r="BF41" s="2360" t="s">
        <v>450</v>
      </c>
      <c r="BG41" s="2050" t="s">
        <v>451</v>
      </c>
      <c r="BH41" s="2066"/>
      <c r="BI41" s="2113"/>
      <c r="BJ41" s="2072"/>
      <c r="BK41" s="797"/>
      <c r="BL41" s="2360" t="s">
        <v>448</v>
      </c>
      <c r="BM41" s="2360" t="s">
        <v>449</v>
      </c>
      <c r="BN41" s="2360" t="s">
        <v>450</v>
      </c>
      <c r="BO41" s="2050" t="s">
        <v>451</v>
      </c>
      <c r="BP41" s="2066"/>
      <c r="BQ41" s="2113"/>
      <c r="BR41" s="2072"/>
      <c r="BS41" s="797"/>
      <c r="BT41" s="2360" t="s">
        <v>448</v>
      </c>
      <c r="BU41" s="2360" t="s">
        <v>449</v>
      </c>
      <c r="BV41" s="2360" t="s">
        <v>450</v>
      </c>
      <c r="BW41" s="2050" t="s">
        <v>451</v>
      </c>
      <c r="BX41" s="2066"/>
      <c r="BY41" s="2113"/>
      <c r="BZ41" s="2116"/>
      <c r="CA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108</v>
      </c>
      <c r="T42" s="1268" t="s">
        <v>109</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2105">
        <f>OFFSET(AL42,0,-1)+1</f>
        <v>3</v>
      </c>
      <c r="AM42" s="2105"/>
      <c r="AN42" s="2105">
        <f>OFFSET(AN42,0,-1)+1</f>
        <v>1</v>
      </c>
      <c r="AO42" s="2105">
        <f>OFFSET(AO42,0,-1)+1</f>
        <v>2</v>
      </c>
      <c r="AP42" s="2105">
        <f>OFFSET(AP42,0,-1)+1</f>
        <v>3</v>
      </c>
      <c r="AQ42" s="2105">
        <f>OFFSET(AQ42,0,-1)+1</f>
        <v>4</v>
      </c>
      <c r="AR42" s="2105"/>
      <c r="AS42" s="2105">
        <f>OFFSET(AS42,0,-2)+1</f>
        <v>5</v>
      </c>
      <c r="AT42" s="2105">
        <f>OFFSET(AT42,0,-1)+1</f>
        <v>3</v>
      </c>
      <c r="AU42" s="2105"/>
      <c r="AV42" s="2105">
        <f>OFFSET(AV42,0,-1)+1</f>
        <v>1</v>
      </c>
      <c r="AW42" s="2105">
        <f>OFFSET(AW42,0,-1)+1</f>
        <v>2</v>
      </c>
      <c r="AX42" s="2105">
        <f>OFFSET(AX42,0,-1)+1</f>
        <v>3</v>
      </c>
      <c r="AY42" s="2105">
        <f>OFFSET(AY42,0,-1)+1</f>
        <v>4</v>
      </c>
      <c r="AZ42" s="2105"/>
      <c r="BA42" s="2105">
        <f>OFFSET(BA42,0,-2)+1</f>
        <v>5</v>
      </c>
      <c r="BB42" s="2105">
        <f>OFFSET(BB42,0,-1)+1</f>
        <v>3</v>
      </c>
      <c r="BC42" s="2105"/>
      <c r="BD42" s="2105">
        <f>OFFSET(BD42,0,-1)+1</f>
        <v>1</v>
      </c>
      <c r="BE42" s="2105">
        <f>OFFSET(BE42,0,-1)+1</f>
        <v>2</v>
      </c>
      <c r="BF42" s="2105">
        <f>OFFSET(BF42,0,-1)+1</f>
        <v>3</v>
      </c>
      <c r="BG42" s="2105">
        <f>OFFSET(BG42,0,-1)+1</f>
        <v>4</v>
      </c>
      <c r="BH42" s="2105"/>
      <c r="BI42" s="2105">
        <f>OFFSET(BI42,0,-2)+1</f>
        <v>5</v>
      </c>
      <c r="BJ42" s="2105">
        <f>OFFSET(BJ42,0,-1)+1</f>
        <v>3</v>
      </c>
      <c r="BK42" s="2105"/>
      <c r="BL42" s="2105">
        <f>OFFSET(BL42,0,-1)+1</f>
        <v>1</v>
      </c>
      <c r="BM42" s="2105">
        <f>OFFSET(BM42,0,-1)+1</f>
        <v>2</v>
      </c>
      <c r="BN42" s="2105">
        <f>OFFSET(BN42,0,-1)+1</f>
        <v>3</v>
      </c>
      <c r="BO42" s="2105">
        <f>OFFSET(BO42,0,-1)+1</f>
        <v>4</v>
      </c>
      <c r="BP42" s="2105"/>
      <c r="BQ42" s="2105">
        <f>OFFSET(BQ42,0,-2)+1</f>
        <v>5</v>
      </c>
      <c r="BR42" s="2105">
        <f>OFFSET(BR42,0,-1)+1</f>
        <v>3</v>
      </c>
      <c r="BS42" s="2105"/>
      <c r="BT42" s="2105">
        <f>OFFSET(BT42,0,-1)+1</f>
        <v>1</v>
      </c>
      <c r="BU42" s="2105">
        <f>OFFSET(BU42,0,-1)+1</f>
        <v>2</v>
      </c>
      <c r="BV42" s="2105">
        <f>OFFSET(BV42,0,-1)+1</f>
        <v>3</v>
      </c>
      <c r="BW42" s="2105">
        <f>OFFSET(BW42,0,-1)+1</f>
        <v>4</v>
      </c>
      <c r="BX42" s="2105"/>
      <c r="BY42" s="2105">
        <f>OFFSET(BY42,0,-2)+1</f>
        <v>5</v>
      </c>
      <c r="BZ42" s="1250">
        <f>OFFSET(BZ42,0,-1)</f>
        <v>5</v>
      </c>
      <c r="CA42" s="1352">
        <f>OFFSET(CA42,0,-1)+1</f>
        <v>6</v>
      </c>
      <c r="CB42" s="507"/>
      <c r="CC42" s="507"/>
      <c r="CD42" s="507"/>
      <c r="CE42" s="507"/>
      <c r="CF42" s="507"/>
    </row>
    <row customHeight="1" ht="21">
      <c r="A43" s="1380" t="s">
        <v>185</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1</v>
      </c>
      <c r="T43" s="278" t="s">
        <v>122</v>
      </c>
      <c r="U43" s="280"/>
      <c r="V43" s="2083"/>
      <c r="W43" s="2084"/>
      <c r="X43" s="2084"/>
      <c r="Y43" s="2084"/>
      <c r="Z43" s="2084"/>
      <c r="AA43" s="2084"/>
      <c r="AB43" s="2084"/>
      <c r="AC43" s="2085"/>
      <c r="AD43" s="2083" t="str">
        <f>INDEX(PT_DIFFERENTIATION_NTAR,MATCH(A43,PT_DIFFERENTIATION_NTAR_ID,0))</f>
        <v>Тариф на теплоноситель, поставляемый обществом с ограниченной ответственностью "ПРОМ ИМПУЛЬС" потребителям, расположенным на территории Санкт-Петербурга</v>
      </c>
      <c r="AE43" s="2084"/>
      <c r="AF43" s="2084"/>
      <c r="AG43" s="2084"/>
      <c r="AH43" s="2084"/>
      <c r="AI43" s="2084"/>
      <c r="AJ43" s="2084"/>
      <c r="AK43" s="2084"/>
      <c r="AL43" s="2083"/>
      <c r="AM43" s="2084"/>
      <c r="AN43" s="2084"/>
      <c r="AO43" s="2084"/>
      <c r="AP43" s="2084"/>
      <c r="AQ43" s="2084"/>
      <c r="AR43" s="2084"/>
      <c r="AS43" s="2085"/>
      <c r="AT43" s="2083"/>
      <c r="AU43" s="2084"/>
      <c r="AV43" s="2084"/>
      <c r="AW43" s="2084"/>
      <c r="AX43" s="2084"/>
      <c r="AY43" s="2084"/>
      <c r="AZ43" s="2084"/>
      <c r="BA43" s="2085"/>
      <c r="BB43" s="2083"/>
      <c r="BC43" s="2084"/>
      <c r="BD43" s="2084"/>
      <c r="BE43" s="2084"/>
      <c r="BF43" s="2084"/>
      <c r="BG43" s="2084"/>
      <c r="BH43" s="2084"/>
      <c r="BI43" s="2085"/>
      <c r="BJ43" s="2083"/>
      <c r="BK43" s="2084"/>
      <c r="BL43" s="2084"/>
      <c r="BM43" s="2084"/>
      <c r="BN43" s="2084"/>
      <c r="BO43" s="2084"/>
      <c r="BP43" s="2084"/>
      <c r="BQ43" s="2085"/>
      <c r="BR43" s="2083"/>
      <c r="BS43" s="2084"/>
      <c r="BT43" s="2084"/>
      <c r="BU43" s="2084"/>
      <c r="BV43" s="2084"/>
      <c r="BW43" s="2084"/>
      <c r="BX43" s="2084"/>
      <c r="BY43" s="2085"/>
      <c r="BZ43" s="2085"/>
      <c r="CA43" s="127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CC43" s="496"/>
      <c r="CD43" s="496" t="str">
        <f>IF(T43="","",T43)</f>
        <v>Наименование тарифа</v>
      </c>
      <c r="CE43" s="496"/>
      <c r="CF43" s="496"/>
    </row>
    <row customHeight="1" ht="21">
      <c r="A44" s="1380" t="s">
        <v>185</v>
      </c>
      <c r="B44" s="1380" t="s">
        <v>186</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1.1</v>
      </c>
      <c r="T44" s="290" t="s">
        <v>404</v>
      </c>
      <c r="U44" s="280"/>
      <c r="V44" s="2083"/>
      <c r="W44" s="2084"/>
      <c r="X44" s="2084"/>
      <c r="Y44" s="2084"/>
      <c r="Z44" s="2084"/>
      <c r="AA44" s="2084"/>
      <c r="AB44" s="2084"/>
      <c r="AC44" s="2085"/>
      <c r="AD44" s="2083" t="str">
        <f>INDEX(PT_DIFFERENTIATION_TER,MATCH(B44,PT_DIFFERENTIATION_TER_ID,0))</f>
        <v>Территория 1</v>
      </c>
      <c r="AE44" s="2084"/>
      <c r="AF44" s="2084"/>
      <c r="AG44" s="2084"/>
      <c r="AH44" s="2084"/>
      <c r="AI44" s="2084"/>
      <c r="AJ44" s="2084"/>
      <c r="AK44" s="2084"/>
      <c r="AL44" s="2083"/>
      <c r="AM44" s="2084"/>
      <c r="AN44" s="2084"/>
      <c r="AO44" s="2084"/>
      <c r="AP44" s="2084"/>
      <c r="AQ44" s="2084"/>
      <c r="AR44" s="2084"/>
      <c r="AS44" s="2085"/>
      <c r="AT44" s="2083"/>
      <c r="AU44" s="2084"/>
      <c r="AV44" s="2084"/>
      <c r="AW44" s="2084"/>
      <c r="AX44" s="2084"/>
      <c r="AY44" s="2084"/>
      <c r="AZ44" s="2084"/>
      <c r="BA44" s="2085"/>
      <c r="BB44" s="2083"/>
      <c r="BC44" s="2084"/>
      <c r="BD44" s="2084"/>
      <c r="BE44" s="2084"/>
      <c r="BF44" s="2084"/>
      <c r="BG44" s="2084"/>
      <c r="BH44" s="2084"/>
      <c r="BI44" s="2085"/>
      <c r="BJ44" s="2083"/>
      <c r="BK44" s="2084"/>
      <c r="BL44" s="2084"/>
      <c r="BM44" s="2084"/>
      <c r="BN44" s="2084"/>
      <c r="BO44" s="2084"/>
      <c r="BP44" s="2084"/>
      <c r="BQ44" s="2085"/>
      <c r="BR44" s="2083"/>
      <c r="BS44" s="2084"/>
      <c r="BT44" s="2084"/>
      <c r="BU44" s="2084"/>
      <c r="BV44" s="2084"/>
      <c r="BW44" s="2084"/>
      <c r="BX44" s="2084"/>
      <c r="BY44" s="2085"/>
      <c r="BZ44" s="2085"/>
      <c r="CA44" s="1273" t="s">
        <v>405</v>
      </c>
      <c r="CC44" s="496"/>
      <c r="CD44" s="496" t="str">
        <f>IF(T44="","",T44)</f>
        <v>Территория действия тарифа</v>
      </c>
      <c r="CE44" s="496"/>
      <c r="CF44" s="496"/>
    </row>
    <row customHeight="1" ht="23.25">
      <c r="A45" s="1380" t="s">
        <v>185</v>
      </c>
      <c r="B45" s="1380" t="s">
        <v>186</v>
      </c>
      <c r="C45" s="1380" t="s">
        <v>187</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1.1.1</v>
      </c>
      <c r="T45" s="291" t="s">
        <v>406</v>
      </c>
      <c r="U45" s="280"/>
      <c r="V45" s="2083"/>
      <c r="W45" s="2084"/>
      <c r="X45" s="2084"/>
      <c r="Y45" s="2084"/>
      <c r="Z45" s="2084"/>
      <c r="AA45" s="2084"/>
      <c r="AB45" s="2084"/>
      <c r="AC45" s="2085"/>
      <c r="AD45" s="2083" t="str">
        <f>INDEX(PT_DIFFERENTIATION_CS,MATCH(C45,PT_DIFFERENTIATION_CS_ID,0))</f>
        <v>без дифференциации</v>
      </c>
      <c r="AE45" s="2084"/>
      <c r="AF45" s="2084"/>
      <c r="AG45" s="2084"/>
      <c r="AH45" s="2084"/>
      <c r="AI45" s="2084"/>
      <c r="AJ45" s="2084"/>
      <c r="AK45" s="2084"/>
      <c r="AL45" s="2083"/>
      <c r="AM45" s="2084"/>
      <c r="AN45" s="2084"/>
      <c r="AO45" s="2084"/>
      <c r="AP45" s="2084"/>
      <c r="AQ45" s="2084"/>
      <c r="AR45" s="2084"/>
      <c r="AS45" s="2085"/>
      <c r="AT45" s="2083"/>
      <c r="AU45" s="2084"/>
      <c r="AV45" s="2084"/>
      <c r="AW45" s="2084"/>
      <c r="AX45" s="2084"/>
      <c r="AY45" s="2084"/>
      <c r="AZ45" s="2084"/>
      <c r="BA45" s="2085"/>
      <c r="BB45" s="2083"/>
      <c r="BC45" s="2084"/>
      <c r="BD45" s="2084"/>
      <c r="BE45" s="2084"/>
      <c r="BF45" s="2084"/>
      <c r="BG45" s="2084"/>
      <c r="BH45" s="2084"/>
      <c r="BI45" s="2085"/>
      <c r="BJ45" s="2083"/>
      <c r="BK45" s="2084"/>
      <c r="BL45" s="2084"/>
      <c r="BM45" s="2084"/>
      <c r="BN45" s="2084"/>
      <c r="BO45" s="2084"/>
      <c r="BP45" s="2084"/>
      <c r="BQ45" s="2085"/>
      <c r="BR45" s="2083"/>
      <c r="BS45" s="2084"/>
      <c r="BT45" s="2084"/>
      <c r="BU45" s="2084"/>
      <c r="BV45" s="2084"/>
      <c r="BW45" s="2084"/>
      <c r="BX45" s="2084"/>
      <c r="BY45" s="2085"/>
      <c r="BZ45" s="2085"/>
      <c r="CA45" s="1273" t="s">
        <v>407</v>
      </c>
      <c r="CC45" s="496"/>
      <c r="CD45" s="496" t="str">
        <f>IF(T45="","",T45)</f>
        <v>Наименование системы теплоснабжения </v>
      </c>
      <c r="CE45" s="496"/>
      <c r="CF45" s="496"/>
    </row>
    <row customHeight="1" ht="21">
      <c r="A46" s="1380" t="s">
        <v>185</v>
      </c>
      <c r="B46" s="1380" t="s">
        <v>186</v>
      </c>
      <c r="C46" s="1380" t="s">
        <v>187</v>
      </c>
      <c r="D46" s="1380" t="s">
        <v>188</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1.1.1.1</v>
      </c>
      <c r="T46" s="292" t="s">
        <v>408</v>
      </c>
      <c r="U46" s="280"/>
      <c r="V46" s="2083"/>
      <c r="W46" s="2084"/>
      <c r="X46" s="2084"/>
      <c r="Y46" s="2084"/>
      <c r="Z46" s="2084"/>
      <c r="AA46" s="2084"/>
      <c r="AB46" s="2084"/>
      <c r="AC46" s="2085"/>
      <c r="AD46" s="2083" t="str">
        <f>INDEX(PT_DIFFERENTIATION_IST_TE,MATCH(D46,PT_DIFFERENTIATION_IST_TE_ID,0))</f>
        <v>без дифференциации</v>
      </c>
      <c r="AE46" s="2084"/>
      <c r="AF46" s="2084"/>
      <c r="AG46" s="2084"/>
      <c r="AH46" s="2084"/>
      <c r="AI46" s="2084"/>
      <c r="AJ46" s="2084"/>
      <c r="AK46" s="2084"/>
      <c r="AL46" s="2083"/>
      <c r="AM46" s="2084"/>
      <c r="AN46" s="2084"/>
      <c r="AO46" s="2084"/>
      <c r="AP46" s="2084"/>
      <c r="AQ46" s="2084"/>
      <c r="AR46" s="2084"/>
      <c r="AS46" s="2085"/>
      <c r="AT46" s="2083"/>
      <c r="AU46" s="2084"/>
      <c r="AV46" s="2084"/>
      <c r="AW46" s="2084"/>
      <c r="AX46" s="2084"/>
      <c r="AY46" s="2084"/>
      <c r="AZ46" s="2084"/>
      <c r="BA46" s="2085"/>
      <c r="BB46" s="2083"/>
      <c r="BC46" s="2084"/>
      <c r="BD46" s="2084"/>
      <c r="BE46" s="2084"/>
      <c r="BF46" s="2084"/>
      <c r="BG46" s="2084"/>
      <c r="BH46" s="2084"/>
      <c r="BI46" s="2085"/>
      <c r="BJ46" s="2083"/>
      <c r="BK46" s="2084"/>
      <c r="BL46" s="2084"/>
      <c r="BM46" s="2084"/>
      <c r="BN46" s="2084"/>
      <c r="BO46" s="2084"/>
      <c r="BP46" s="2084"/>
      <c r="BQ46" s="2085"/>
      <c r="BR46" s="2083"/>
      <c r="BS46" s="2084"/>
      <c r="BT46" s="2084"/>
      <c r="BU46" s="2084"/>
      <c r="BV46" s="2084"/>
      <c r="BW46" s="2084"/>
      <c r="BX46" s="2084"/>
      <c r="BY46" s="2085"/>
      <c r="BZ46" s="2085"/>
      <c r="CA46" s="1273" t="s">
        <v>409</v>
      </c>
      <c r="CC46" s="496"/>
      <c r="CD46" s="496" t="str">
        <f>IF(T46="","",T46)</f>
        <v>Источник тепловой энергии  </v>
      </c>
      <c r="CE46" s="496"/>
      <c r="CF46" s="496"/>
    </row>
    <row s="1667" customFormat="1" customHeight="1" ht="0">
      <c r="A47" s="1360" t="s">
        <v>185</v>
      </c>
      <c r="B47" s="1360" t="s">
        <v>186</v>
      </c>
      <c r="C47" s="1360" t="s">
        <v>187</v>
      </c>
      <c r="D47" s="1360" t="s">
        <v>188</v>
      </c>
      <c r="E47" s="2090"/>
      <c r="F47" s="2090"/>
      <c r="G47" s="2090"/>
      <c r="H47" s="2090"/>
      <c r="I47" s="2091" t="str">
        <f>S46&amp;".1"</f>
        <v>1.1.1.1.1</v>
      </c>
      <c r="J47" s="1360"/>
      <c r="K47" s="1360"/>
      <c r="L47" s="1363" t="s">
        <v>410</v>
      </c>
      <c r="M47" s="506"/>
      <c r="N47" s="506"/>
      <c r="O47" s="506"/>
      <c r="P47" s="2093">
        <v>1</v>
      </c>
      <c r="Q47" s="1348"/>
      <c r="R47" s="344"/>
      <c r="S47" s="1037"/>
      <c r="T47" s="1400"/>
      <c r="U47" s="1401"/>
      <c r="V47" s="2129"/>
      <c r="W47" s="2130"/>
      <c r="X47" s="2130"/>
      <c r="Y47" s="2130"/>
      <c r="Z47" s="2130"/>
      <c r="AA47" s="2130"/>
      <c r="AB47" s="2130"/>
      <c r="AC47" s="2131"/>
      <c r="AD47" s="2129"/>
      <c r="AE47" s="2130"/>
      <c r="AF47" s="2130"/>
      <c r="AG47" s="2130"/>
      <c r="AH47" s="2130"/>
      <c r="AI47" s="2130"/>
      <c r="AJ47" s="2130"/>
      <c r="AK47" s="2130"/>
      <c r="AL47" s="2129"/>
      <c r="AM47" s="2130"/>
      <c r="AN47" s="2130"/>
      <c r="AO47" s="2130"/>
      <c r="AP47" s="2130"/>
      <c r="AQ47" s="2130"/>
      <c r="AR47" s="2130"/>
      <c r="AS47" s="2131"/>
      <c r="AT47" s="2129"/>
      <c r="AU47" s="2130"/>
      <c r="AV47" s="2130"/>
      <c r="AW47" s="2130"/>
      <c r="AX47" s="2130"/>
      <c r="AY47" s="2130"/>
      <c r="AZ47" s="2130"/>
      <c r="BA47" s="2131"/>
      <c r="BB47" s="2129"/>
      <c r="BC47" s="2130"/>
      <c r="BD47" s="2130"/>
      <c r="BE47" s="2130"/>
      <c r="BF47" s="2130"/>
      <c r="BG47" s="2130"/>
      <c r="BH47" s="2130"/>
      <c r="BI47" s="2131"/>
      <c r="BJ47" s="2129"/>
      <c r="BK47" s="2130"/>
      <c r="BL47" s="2130"/>
      <c r="BM47" s="2130"/>
      <c r="BN47" s="2130"/>
      <c r="BO47" s="2130"/>
      <c r="BP47" s="2130"/>
      <c r="BQ47" s="2131"/>
      <c r="BR47" s="2129"/>
      <c r="BS47" s="2130"/>
      <c r="BT47" s="2130"/>
      <c r="BU47" s="2130"/>
      <c r="BV47" s="2130"/>
      <c r="BW47" s="2130"/>
      <c r="BX47" s="2130"/>
      <c r="BY47" s="2131"/>
      <c r="BZ47" s="2131"/>
      <c r="CA47" s="1402"/>
      <c r="CC47" s="496"/>
      <c r="CD47" s="496" t="str">
        <f>IF(T47="","",T47)</f>
        <v/>
      </c>
      <c r="CE47" s="496"/>
      <c r="CF47" s="496"/>
    </row>
    <row customHeight="1" ht="21">
      <c r="A48" s="1380" t="s">
        <v>185</v>
      </c>
      <c r="B48" s="1380" t="s">
        <v>186</v>
      </c>
      <c r="C48" s="1380" t="s">
        <v>187</v>
      </c>
      <c r="D48" s="1380" t="s">
        <v>188</v>
      </c>
      <c r="E48" s="2090"/>
      <c r="F48" s="2090"/>
      <c r="G48" s="2090"/>
      <c r="H48" s="2090"/>
      <c r="I48" s="2092"/>
      <c r="J48" s="2091" t="str">
        <f>S46&amp;".1"</f>
        <v>1.1.1.1.1</v>
      </c>
      <c r="K48" s="1380"/>
      <c r="L48" s="1381" t="s">
        <v>413</v>
      </c>
      <c r="P48" s="2093"/>
      <c r="Q48" s="2093">
        <v>1</v>
      </c>
      <c r="R48" s="345"/>
      <c r="S48" s="1353" t="str">
        <f>$J48</f>
        <v>1.1.1.1.1</v>
      </c>
      <c r="T48" s="267" t="s">
        <v>414</v>
      </c>
      <c r="U48" s="280"/>
      <c r="V48" s="2077"/>
      <c r="W48" s="2078"/>
      <c r="X48" s="2078"/>
      <c r="Y48" s="2078"/>
      <c r="Z48" s="2078"/>
      <c r="AA48" s="2078"/>
      <c r="AB48" s="2078"/>
      <c r="AC48" s="2079"/>
      <c r="AD48" s="2077" t="s">
        <v>454</v>
      </c>
      <c r="AE48" s="2078"/>
      <c r="AF48" s="2078"/>
      <c r="AG48" s="2078"/>
      <c r="AH48" s="2078"/>
      <c r="AI48" s="2078"/>
      <c r="AJ48" s="2078"/>
      <c r="AK48" s="2078"/>
      <c r="AL48" s="2077"/>
      <c r="AM48" s="2078"/>
      <c r="AN48" s="2078"/>
      <c r="AO48" s="2078"/>
      <c r="AP48" s="2078"/>
      <c r="AQ48" s="2078"/>
      <c r="AR48" s="2078"/>
      <c r="AS48" s="2079"/>
      <c r="AT48" s="2077"/>
      <c r="AU48" s="2078"/>
      <c r="AV48" s="2078"/>
      <c r="AW48" s="2078"/>
      <c r="AX48" s="2078"/>
      <c r="AY48" s="2078"/>
      <c r="AZ48" s="2078"/>
      <c r="BA48" s="2079"/>
      <c r="BB48" s="2077"/>
      <c r="BC48" s="2078"/>
      <c r="BD48" s="2078"/>
      <c r="BE48" s="2078"/>
      <c r="BF48" s="2078"/>
      <c r="BG48" s="2078"/>
      <c r="BH48" s="2078"/>
      <c r="BI48" s="2079"/>
      <c r="BJ48" s="2077"/>
      <c r="BK48" s="2078"/>
      <c r="BL48" s="2078"/>
      <c r="BM48" s="2078"/>
      <c r="BN48" s="2078"/>
      <c r="BO48" s="2078"/>
      <c r="BP48" s="2078"/>
      <c r="BQ48" s="2079"/>
      <c r="BR48" s="2077"/>
      <c r="BS48" s="2078"/>
      <c r="BT48" s="2078"/>
      <c r="BU48" s="2078"/>
      <c r="BV48" s="2078"/>
      <c r="BW48" s="2078"/>
      <c r="BX48" s="2078"/>
      <c r="BY48" s="2079"/>
      <c r="BZ48" s="2079"/>
      <c r="CA48" s="1273" t="s">
        <v>415</v>
      </c>
      <c r="CC48" s="496"/>
      <c r="CD48" s="496" t="str">
        <f>IF(T48="","",T48)</f>
        <v>Группа потребителей</v>
      </c>
      <c r="CE48" s="496"/>
      <c r="CF48" s="496"/>
    </row>
    <row customHeight="1" ht="21">
      <c r="A49" s="1380" t="s">
        <v>185</v>
      </c>
      <c r="B49" s="1380" t="s">
        <v>186</v>
      </c>
      <c r="C49" s="1380" t="s">
        <v>187</v>
      </c>
      <c r="D49" s="1380" t="s">
        <v>188</v>
      </c>
      <c r="E49" s="2090"/>
      <c r="F49" s="2090"/>
      <c r="G49" s="2090"/>
      <c r="H49" s="2090"/>
      <c r="I49" s="2092"/>
      <c r="J49" s="2092"/>
      <c r="K49" s="2091" t="str">
        <f>J48&amp;".1"</f>
        <v>1.1.1.1.1.1</v>
      </c>
      <c r="L49" s="1381" t="s">
        <v>416</v>
      </c>
      <c r="P49" s="2093"/>
      <c r="Q49" s="2093"/>
      <c r="R49" s="345">
        <v>1</v>
      </c>
      <c r="S49" s="1353" t="str">
        <f>$K49</f>
        <v>1.1.1.1.1.1</v>
      </c>
      <c r="T49" s="1364" t="s">
        <v>455</v>
      </c>
      <c r="U49" s="280"/>
      <c r="V49" s="746"/>
      <c r="W49" s="312"/>
      <c r="X49" s="746"/>
      <c r="Y49" s="1272"/>
      <c r="Z49" s="2094"/>
      <c r="AA49" s="1963" t="s">
        <v>66</v>
      </c>
      <c r="AB49" s="2094"/>
      <c r="AC49" s="1963" t="s">
        <v>66</v>
      </c>
      <c r="AD49" s="746">
        <v>39.26</v>
      </c>
      <c r="AE49" s="312"/>
      <c r="AF49" s="746"/>
      <c r="AG49" s="1272"/>
      <c r="AH49" s="2425">
        <v>45292.59465277778</v>
      </c>
      <c r="AI49" s="1963" t="s">
        <v>66</v>
      </c>
      <c r="AJ49" s="2096">
        <v>45473.59469907408</v>
      </c>
      <c r="AK49" s="1963" t="s">
        <v>66</v>
      </c>
      <c r="AL49" s="746">
        <v>42.68</v>
      </c>
      <c r="AM49" s="312"/>
      <c r="AN49" s="746"/>
      <c r="AO49" s="1272"/>
      <c r="AP49" s="2425">
        <v>45474.59496527778</v>
      </c>
      <c r="AQ49" s="1963" t="s">
        <v>66</v>
      </c>
      <c r="AR49" s="2425">
        <v>45838.59505787037</v>
      </c>
      <c r="AS49" s="1963" t="s">
        <v>66</v>
      </c>
      <c r="AT49" s="746">
        <v>45.24</v>
      </c>
      <c r="AU49" s="312"/>
      <c r="AV49" s="746"/>
      <c r="AW49" s="1272"/>
      <c r="AX49" s="2425">
        <v>45839.595300925925</v>
      </c>
      <c r="AY49" s="1963" t="s">
        <v>66</v>
      </c>
      <c r="AZ49" s="2425">
        <v>46203.595405092594</v>
      </c>
      <c r="BA49" s="1963" t="s">
        <v>66</v>
      </c>
      <c r="BB49" s="746">
        <v>47.28</v>
      </c>
      <c r="BC49" s="312"/>
      <c r="BD49" s="746"/>
      <c r="BE49" s="1272"/>
      <c r="BF49" s="2425">
        <v>46204.595717592594</v>
      </c>
      <c r="BG49" s="1963" t="s">
        <v>66</v>
      </c>
      <c r="BH49" s="2425">
        <v>46568.59579861111</v>
      </c>
      <c r="BI49" s="1963" t="s">
        <v>66</v>
      </c>
      <c r="BJ49" s="746">
        <v>49.41</v>
      </c>
      <c r="BK49" s="312"/>
      <c r="BL49" s="746"/>
      <c r="BM49" s="1272"/>
      <c r="BN49" s="2425">
        <v>46569.59606481482</v>
      </c>
      <c r="BO49" s="1963" t="s">
        <v>66</v>
      </c>
      <c r="BP49" s="2425">
        <v>46934.59615740741</v>
      </c>
      <c r="BQ49" s="1963" t="s">
        <v>66</v>
      </c>
      <c r="BR49" s="746">
        <v>51.63</v>
      </c>
      <c r="BS49" s="312"/>
      <c r="BT49" s="746"/>
      <c r="BU49" s="1272"/>
      <c r="BV49" s="2425">
        <v>46935.59638888889</v>
      </c>
      <c r="BW49" s="1963" t="s">
        <v>66</v>
      </c>
      <c r="BX49" s="2425">
        <v>47118.59649305556</v>
      </c>
      <c r="BY49" s="1963" t="s">
        <v>66</v>
      </c>
      <c r="BZ49" s="1365"/>
      <c r="CA49" s="2119" t="s">
        <v>457</v>
      </c>
      <c r="CB49" s="507">
        <f>STRCHECKDATE(V50:BZ50)</f>
      </c>
      <c r="CC49" s="496"/>
      <c r="CD49" s="496" t="str">
        <f>IF(T49="","",T49)</f>
        <v>вода</v>
      </c>
      <c r="CE49" s="496"/>
      <c r="CF49" s="496"/>
    </row>
    <row customHeight="1" ht="0.75">
      <c r="A50" s="1380" t="s">
        <v>185</v>
      </c>
      <c r="B50" s="1380" t="s">
        <v>186</v>
      </c>
      <c r="C50" s="1380" t="s">
        <v>187</v>
      </c>
      <c r="D50" s="1380" t="s">
        <v>188</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45292.59465277778-45473.59469907408</v>
      </c>
      <c r="AH50" s="2095"/>
      <c r="AI50" s="1963"/>
      <c r="AJ50" s="2097"/>
      <c r="AK50" s="1963"/>
      <c r="AL50" s="312"/>
      <c r="AM50" s="312"/>
      <c r="AN50" s="312"/>
      <c r="AO50" s="316" t="str">
        <f>AP49&amp;"-"&amp;AR49</f>
        <v>45474.59496527778-45838.59505787037</v>
      </c>
      <c r="AP50" s="2134"/>
      <c r="AQ50" s="1963"/>
      <c r="AR50" s="2134"/>
      <c r="AS50" s="1963"/>
      <c r="AT50" s="312"/>
      <c r="AU50" s="312"/>
      <c r="AV50" s="312"/>
      <c r="AW50" s="316" t="str">
        <f>AX49&amp;"-"&amp;AZ49</f>
        <v>45839.595300925925-46203.595405092594</v>
      </c>
      <c r="AX50" s="2134"/>
      <c r="AY50" s="1963"/>
      <c r="AZ50" s="2134"/>
      <c r="BA50" s="1963"/>
      <c r="BB50" s="312"/>
      <c r="BC50" s="312"/>
      <c r="BD50" s="312"/>
      <c r="BE50" s="316" t="str">
        <f>BF49&amp;"-"&amp;BH49</f>
        <v>46204.595717592594-46568.59579861111</v>
      </c>
      <c r="BF50" s="2134"/>
      <c r="BG50" s="1963"/>
      <c r="BH50" s="2134"/>
      <c r="BI50" s="1963"/>
      <c r="BJ50" s="312"/>
      <c r="BK50" s="312"/>
      <c r="BL50" s="312"/>
      <c r="BM50" s="316" t="str">
        <f>BN49&amp;"-"&amp;BP49</f>
        <v>46569.59606481482-46934.59615740741</v>
      </c>
      <c r="BN50" s="2134"/>
      <c r="BO50" s="1963"/>
      <c r="BP50" s="2134"/>
      <c r="BQ50" s="1963"/>
      <c r="BR50" s="312"/>
      <c r="BS50" s="312"/>
      <c r="BT50" s="312"/>
      <c r="BU50" s="316" t="str">
        <f>BV49&amp;"-"&amp;BX49</f>
        <v>46935.59638888889-47118.59649305556</v>
      </c>
      <c r="BV50" s="2134"/>
      <c r="BW50" s="1963"/>
      <c r="BX50" s="2134"/>
      <c r="BY50" s="1963"/>
      <c r="BZ50" s="1366"/>
      <c r="CA50" s="2120"/>
      <c r="CC50" s="496"/>
      <c r="CD50" s="496" t="str">
        <f>IF(T50="","",T50)</f>
        <v/>
      </c>
      <c r="CE50" s="496"/>
      <c r="CF50" s="496"/>
    </row>
    <row customHeight="1" ht="11.25">
      <c r="A51" s="1380" t="s">
        <v>185</v>
      </c>
      <c r="B51" s="1380" t="s">
        <v>186</v>
      </c>
      <c r="C51" s="1380" t="s">
        <v>187</v>
      </c>
      <c r="D51" s="1380" t="s">
        <v>188</v>
      </c>
      <c r="E51" s="2090"/>
      <c r="F51" s="2090"/>
      <c r="G51" s="2090"/>
      <c r="H51" s="2090"/>
      <c r="I51" s="2092"/>
      <c r="J51" s="2091"/>
      <c r="K51" s="1380"/>
      <c r="L51" s="1381"/>
      <c r="P51" s="2093"/>
      <c r="Q51" s="2093"/>
      <c r="R51" s="344"/>
      <c r="S51" s="1295"/>
      <c r="T51" s="268" t="s">
        <v>418</v>
      </c>
      <c r="U51" s="359"/>
      <c r="V51" s="359"/>
      <c r="W51" s="359"/>
      <c r="X51" s="359"/>
      <c r="Y51" s="359"/>
      <c r="Z51" s="359"/>
      <c r="AA51" s="359"/>
      <c r="AB51" s="359"/>
      <c r="AC51" s="359"/>
      <c r="AD51" s="359"/>
      <c r="AE51" s="359"/>
      <c r="AF51" s="359"/>
      <c r="AG51" s="359"/>
      <c r="AH51" s="359"/>
      <c r="AI51" s="359"/>
      <c r="AJ51" s="359"/>
      <c r="AK51" s="359"/>
      <c r="AL51" s="3520"/>
      <c r="AM51" s="3521"/>
      <c r="AN51" s="3522"/>
      <c r="AO51" s="3523"/>
      <c r="AP51" s="3524"/>
      <c r="AQ51" s="3525"/>
      <c r="AR51" s="3526"/>
      <c r="AS51" s="3527"/>
      <c r="AT51" s="3528"/>
      <c r="AU51" s="3529"/>
      <c r="AV51" s="3530"/>
      <c r="AW51" s="3531"/>
      <c r="AX51" s="3532"/>
      <c r="AY51" s="3533"/>
      <c r="AZ51" s="3534"/>
      <c r="BA51" s="3535"/>
      <c r="BB51" s="3536"/>
      <c r="BC51" s="3537"/>
      <c r="BD51" s="3538"/>
      <c r="BE51" s="3539"/>
      <c r="BF51" s="3540"/>
      <c r="BG51" s="3541"/>
      <c r="BH51" s="3542"/>
      <c r="BI51" s="3543"/>
      <c r="BJ51" s="3544"/>
      <c r="BK51" s="3545"/>
      <c r="BL51" s="3546"/>
      <c r="BM51" s="3547"/>
      <c r="BN51" s="3548"/>
      <c r="BO51" s="3549"/>
      <c r="BP51" s="3550"/>
      <c r="BQ51" s="3551"/>
      <c r="BR51" s="3552"/>
      <c r="BS51" s="3553"/>
      <c r="BT51" s="3554"/>
      <c r="BU51" s="3555"/>
      <c r="BV51" s="3556"/>
      <c r="BW51" s="3557"/>
      <c r="BX51" s="3558"/>
      <c r="BY51" s="3559"/>
      <c r="BZ51" s="311"/>
      <c r="CA51" s="2121"/>
      <c r="CC51" s="496"/>
      <c r="CD51" s="496" t="str">
        <f>IF(T51="","",T51)</f>
        <v>Добавить вид теплоносителя (параметры теплоносителя)</v>
      </c>
      <c r="CE51" s="496"/>
      <c r="CF51" s="496"/>
    </row>
    <row customHeight="1" ht="11.25">
      <c r="A52" s="1380" t="s">
        <v>185</v>
      </c>
      <c r="B52" s="1380" t="s">
        <v>186</v>
      </c>
      <c r="C52" s="1380" t="s">
        <v>187</v>
      </c>
      <c r="D52" s="1380" t="s">
        <v>188</v>
      </c>
      <c r="E52" s="2090"/>
      <c r="F52" s="2090"/>
      <c r="G52" s="2090"/>
      <c r="H52" s="2090"/>
      <c r="I52" s="2091"/>
      <c r="J52" s="1380"/>
      <c r="K52" s="1380"/>
      <c r="L52" s="1381"/>
      <c r="P52" s="2093"/>
      <c r="Q52" s="1348"/>
      <c r="R52" s="344"/>
      <c r="S52" s="1295"/>
      <c r="T52" s="356" t="s">
        <v>419</v>
      </c>
      <c r="U52" s="359"/>
      <c r="V52" s="359"/>
      <c r="W52" s="359"/>
      <c r="X52" s="359"/>
      <c r="Y52" s="359"/>
      <c r="Z52" s="359"/>
      <c r="AA52" s="359"/>
      <c r="AB52" s="359"/>
      <c r="AC52" s="358"/>
      <c r="AD52" s="359"/>
      <c r="AE52" s="359"/>
      <c r="AF52" s="359"/>
      <c r="AG52" s="359"/>
      <c r="AH52" s="359"/>
      <c r="AI52" s="359"/>
      <c r="AJ52" s="359"/>
      <c r="AK52" s="358"/>
      <c r="AL52" s="3560"/>
      <c r="AM52" s="3561"/>
      <c r="AN52" s="3562"/>
      <c r="AO52" s="3563"/>
      <c r="AP52" s="3564"/>
      <c r="AQ52" s="3565"/>
      <c r="AR52" s="3566"/>
      <c r="AS52" s="3567"/>
      <c r="AT52" s="3568"/>
      <c r="AU52" s="3569"/>
      <c r="AV52" s="3570"/>
      <c r="AW52" s="3571"/>
      <c r="AX52" s="3572"/>
      <c r="AY52" s="3573"/>
      <c r="AZ52" s="3574"/>
      <c r="BA52" s="3575"/>
      <c r="BB52" s="3576"/>
      <c r="BC52" s="3577"/>
      <c r="BD52" s="3578"/>
      <c r="BE52" s="3579"/>
      <c r="BF52" s="3580"/>
      <c r="BG52" s="3581"/>
      <c r="BH52" s="3582"/>
      <c r="BI52" s="3583"/>
      <c r="BJ52" s="3584"/>
      <c r="BK52" s="3585"/>
      <c r="BL52" s="3586"/>
      <c r="BM52" s="3587"/>
      <c r="BN52" s="3588"/>
      <c r="BO52" s="3589"/>
      <c r="BP52" s="3590"/>
      <c r="BQ52" s="3591"/>
      <c r="BR52" s="3592"/>
      <c r="BS52" s="3593"/>
      <c r="BT52" s="3594"/>
      <c r="BU52" s="3595"/>
      <c r="BV52" s="3596"/>
      <c r="BW52" s="3597"/>
      <c r="BX52" s="3598"/>
      <c r="BY52" s="3599"/>
      <c r="BZ52" s="359"/>
      <c r="CA52" s="283"/>
      <c r="CC52" s="496"/>
      <c r="CD52" s="496" t="str">
        <f>IF(T52="","",T52)</f>
        <v>Добавить группу потребителей</v>
      </c>
      <c r="CE52" s="496"/>
      <c r="CF52" s="496"/>
    </row>
    <row customHeight="1" ht="0">
      <c r="A53" s="1380" t="s">
        <v>185</v>
      </c>
      <c r="B53" s="1380" t="s">
        <v>186</v>
      </c>
      <c r="C53" s="1380" t="s">
        <v>187</v>
      </c>
      <c r="D53" s="1380" t="s">
        <v>188</v>
      </c>
      <c r="E53" s="2090"/>
      <c r="F53" s="2090"/>
      <c r="G53" s="2090"/>
      <c r="H53" s="2089"/>
      <c r="I53" s="1380"/>
      <c r="J53" s="1380"/>
      <c r="K53" s="1380"/>
      <c r="L53" s="1381"/>
      <c r="M53" s="1382"/>
      <c r="N53" s="1382"/>
      <c r="O53" s="533"/>
      <c r="P53" s="348"/>
      <c r="Q53" s="367"/>
      <c r="R53" s="343"/>
      <c r="S53" s="1403"/>
      <c r="T53" s="1404"/>
      <c r="U53" s="1405"/>
      <c r="V53" s="1405"/>
      <c r="W53" s="1405"/>
      <c r="X53" s="1405"/>
      <c r="Y53" s="1405"/>
      <c r="Z53" s="1405"/>
      <c r="AA53" s="1405"/>
      <c r="AB53" s="1405"/>
      <c r="AC53" s="1405"/>
      <c r="AD53" s="1405"/>
      <c r="AE53" s="1405"/>
      <c r="AF53" s="1405"/>
      <c r="AG53" s="1405"/>
      <c r="AH53" s="1405"/>
      <c r="AI53" s="1405"/>
      <c r="AJ53" s="1405"/>
      <c r="AK53" s="1405"/>
      <c r="AL53" s="1405"/>
      <c r="AM53" s="1405"/>
      <c r="AN53" s="1405"/>
      <c r="AO53" s="1405"/>
      <c r="AP53" s="1405"/>
      <c r="AQ53" s="1405"/>
      <c r="AR53" s="1405"/>
      <c r="AS53" s="1405"/>
      <c r="AT53" s="1405"/>
      <c r="AU53" s="1405"/>
      <c r="AV53" s="1405"/>
      <c r="AW53" s="1405"/>
      <c r="AX53" s="1405"/>
      <c r="AY53" s="1405"/>
      <c r="AZ53" s="1405"/>
      <c r="BA53" s="1405"/>
      <c r="BB53" s="1405"/>
      <c r="BC53" s="1405"/>
      <c r="BD53" s="1405"/>
      <c r="BE53" s="1405"/>
      <c r="BF53" s="1405"/>
      <c r="BG53" s="1405"/>
      <c r="BH53" s="1405"/>
      <c r="BI53" s="1405"/>
      <c r="BJ53" s="1405"/>
      <c r="BK53" s="1405"/>
      <c r="BL53" s="1405"/>
      <c r="BM53" s="1405"/>
      <c r="BN53" s="1405"/>
      <c r="BO53" s="1405"/>
      <c r="BP53" s="1405"/>
      <c r="BQ53" s="1405"/>
      <c r="BR53" s="1405"/>
      <c r="BS53" s="1405"/>
      <c r="BT53" s="1405"/>
      <c r="BU53" s="1405"/>
      <c r="BV53" s="1405"/>
      <c r="BW53" s="1405"/>
      <c r="BX53" s="1405"/>
      <c r="BY53" s="1405"/>
      <c r="BZ53" s="1405"/>
      <c r="CA53" s="1406"/>
      <c r="CC53" s="496"/>
      <c r="CD53" s="496" t="str">
        <f>IF(T53="","",T53)</f>
        <v/>
      </c>
      <c r="CE53" s="496"/>
      <c r="CF53" s="496"/>
    </row>
    <row s="1667" customFormat="1" customHeight="1" ht="0.75">
      <c r="A54" s="1360" t="s">
        <v>185</v>
      </c>
      <c r="B54" s="1360" t="s">
        <v>186</v>
      </c>
      <c r="C54" s="1360" t="s">
        <v>187</v>
      </c>
      <c r="D54" s="1331"/>
      <c r="E54" s="2090"/>
      <c r="F54" s="2090"/>
      <c r="G54" s="2089"/>
      <c r="H54" s="1331"/>
      <c r="I54" s="1331"/>
      <c r="J54" s="1331"/>
      <c r="K54" s="1331"/>
      <c r="L54" s="1356"/>
      <c r="M54" s="1332"/>
      <c r="N54" s="1332"/>
      <c r="P54" s="1333"/>
      <c r="Q54" s="1334"/>
      <c r="R54" s="1333"/>
      <c r="S54" s="1339"/>
      <c r="T54" s="1342" t="s">
        <v>166</v>
      </c>
      <c r="U54" s="1341"/>
      <c r="V54" s="1341"/>
      <c r="W54" s="1341"/>
      <c r="X54" s="1341"/>
      <c r="Y54" s="1341"/>
      <c r="Z54" s="1341"/>
      <c r="AA54" s="1341"/>
      <c r="AB54" s="1341"/>
      <c r="AC54" s="1341"/>
      <c r="AD54" s="1341"/>
      <c r="AE54" s="1341"/>
      <c r="AF54" s="1341"/>
      <c r="AG54" s="1341"/>
      <c r="AH54" s="1341"/>
      <c r="AI54" s="1341"/>
      <c r="AJ54" s="1341"/>
      <c r="AK54" s="1341"/>
      <c r="AL54" s="1341"/>
      <c r="AM54" s="1341"/>
      <c r="AN54" s="1341"/>
      <c r="AO54" s="1341"/>
      <c r="AP54" s="1341"/>
      <c r="AQ54" s="1341"/>
      <c r="AR54" s="1341"/>
      <c r="AS54" s="1341"/>
      <c r="AT54" s="1341"/>
      <c r="AU54" s="1341"/>
      <c r="AV54" s="1341"/>
      <c r="AW54" s="1341"/>
      <c r="AX54" s="1341"/>
      <c r="AY54" s="1341"/>
      <c r="AZ54" s="1341"/>
      <c r="BA54" s="1341"/>
      <c r="BB54" s="1341"/>
      <c r="BC54" s="1341"/>
      <c r="BD54" s="1341"/>
      <c r="BE54" s="1341"/>
      <c r="BF54" s="1341"/>
      <c r="BG54" s="1341"/>
      <c r="BH54" s="1341"/>
      <c r="BI54" s="1341"/>
      <c r="BJ54" s="1341"/>
      <c r="BK54" s="1341"/>
      <c r="BL54" s="1341"/>
      <c r="BM54" s="1341"/>
      <c r="BN54" s="1341"/>
      <c r="BO54" s="1341"/>
      <c r="BP54" s="1341"/>
      <c r="BQ54" s="1341"/>
      <c r="BR54" s="1341"/>
      <c r="BS54" s="1341"/>
      <c r="BT54" s="1341"/>
      <c r="BU54" s="1341"/>
      <c r="BV54" s="1341"/>
      <c r="BW54" s="1341"/>
      <c r="BX54" s="1341"/>
      <c r="BY54" s="1341"/>
      <c r="BZ54" s="1341"/>
      <c r="CA54" s="1341"/>
      <c r="CC54" s="783"/>
      <c r="CD54" s="783" t="str">
        <f>IF(T54="","",T54)</f>
        <v>Добавить источник для дифференциации</v>
      </c>
      <c r="CE54" s="783"/>
      <c r="CF54" s="783"/>
    </row>
    <row s="1667" customFormat="1" customHeight="1" ht="0.75">
      <c r="A55" s="1360" t="s">
        <v>185</v>
      </c>
      <c r="B55" s="1360" t="s">
        <v>186</v>
      </c>
      <c r="C55" s="1331"/>
      <c r="D55" s="1331"/>
      <c r="E55" s="2090"/>
      <c r="F55" s="2089"/>
      <c r="G55" s="1331"/>
      <c r="H55" s="1331"/>
      <c r="I55" s="1331"/>
      <c r="J55" s="1331"/>
      <c r="K55" s="1331"/>
      <c r="L55" s="1356"/>
      <c r="M55" s="1338"/>
      <c r="N55" s="1338"/>
      <c r="P55" s="1333"/>
      <c r="Q55" s="1334"/>
      <c r="R55" s="1333"/>
      <c r="S55" s="1339"/>
      <c r="T55" s="1342" t="s">
        <v>167</v>
      </c>
      <c r="U55" s="1341"/>
      <c r="V55" s="1341"/>
      <c r="W55" s="1341"/>
      <c r="X55" s="1341"/>
      <c r="Y55" s="1341"/>
      <c r="Z55" s="1341"/>
      <c r="AA55" s="1341"/>
      <c r="AB55" s="1341"/>
      <c r="AC55" s="1341"/>
      <c r="AD55" s="1341"/>
      <c r="AE55" s="1341"/>
      <c r="AF55" s="1341"/>
      <c r="AG55" s="1341"/>
      <c r="AH55" s="1341"/>
      <c r="AI55" s="1341"/>
      <c r="AJ55" s="1341"/>
      <c r="AK55" s="1341"/>
      <c r="AL55" s="1341"/>
      <c r="AM55" s="1341"/>
      <c r="AN55" s="1341"/>
      <c r="AO55" s="1341"/>
      <c r="AP55" s="1341"/>
      <c r="AQ55" s="1341"/>
      <c r="AR55" s="1341"/>
      <c r="AS55" s="1341"/>
      <c r="AT55" s="1341"/>
      <c r="AU55" s="1341"/>
      <c r="AV55" s="1341"/>
      <c r="AW55" s="1341"/>
      <c r="AX55" s="1341"/>
      <c r="AY55" s="1341"/>
      <c r="AZ55" s="1341"/>
      <c r="BA55" s="1341"/>
      <c r="BB55" s="1341"/>
      <c r="BC55" s="1341"/>
      <c r="BD55" s="1341"/>
      <c r="BE55" s="1341"/>
      <c r="BF55" s="1341"/>
      <c r="BG55" s="1341"/>
      <c r="BH55" s="1341"/>
      <c r="BI55" s="1341"/>
      <c r="BJ55" s="1341"/>
      <c r="BK55" s="1341"/>
      <c r="BL55" s="1341"/>
      <c r="BM55" s="1341"/>
      <c r="BN55" s="1341"/>
      <c r="BO55" s="1341"/>
      <c r="BP55" s="1341"/>
      <c r="BQ55" s="1341"/>
      <c r="BR55" s="1341"/>
      <c r="BS55" s="1341"/>
      <c r="BT55" s="1341"/>
      <c r="BU55" s="1341"/>
      <c r="BV55" s="1341"/>
      <c r="BW55" s="1341"/>
      <c r="BX55" s="1341"/>
      <c r="BY55" s="1341"/>
      <c r="BZ55" s="1341"/>
      <c r="CA55" s="1341"/>
      <c r="CC55" s="783"/>
      <c r="CD55" s="783" t="str">
        <f>IF(T55="","",T55)</f>
        <v>Добавить централизованную систему для дифференциации</v>
      </c>
      <c r="CE55" s="783"/>
      <c r="CF55" s="783"/>
    </row>
    <row s="1667" customFormat="1" customHeight="1" ht="0.75">
      <c r="A56" s="1360" t="s">
        <v>185</v>
      </c>
      <c r="B56" s="1360"/>
      <c r="C56" s="1360"/>
      <c r="D56" s="1360"/>
      <c r="E56" s="2089"/>
      <c r="F56" s="1360"/>
      <c r="G56" s="1360"/>
      <c r="H56" s="1360"/>
      <c r="I56" s="1360"/>
      <c r="J56" s="1360"/>
      <c r="K56" s="1360"/>
      <c r="L56" s="1363"/>
      <c r="M56" s="1338"/>
      <c r="N56" s="1338"/>
      <c r="O56" s="514"/>
      <c r="P56" s="376"/>
      <c r="Q56" s="1361"/>
      <c r="R56" s="376"/>
      <c r="S56" s="1339"/>
      <c r="T56" s="1342" t="s">
        <v>168</v>
      </c>
      <c r="U56" s="1341"/>
      <c r="V56" s="1341"/>
      <c r="W56" s="1341"/>
      <c r="X56" s="1341"/>
      <c r="Y56" s="1341"/>
      <c r="Z56" s="1341"/>
      <c r="AA56" s="1341"/>
      <c r="AB56" s="1341"/>
      <c r="AC56" s="1341"/>
      <c r="AD56" s="1341"/>
      <c r="AE56" s="1341"/>
      <c r="AF56" s="1341"/>
      <c r="AG56" s="1341"/>
      <c r="AH56" s="1341"/>
      <c r="AI56" s="1341"/>
      <c r="AJ56" s="1341"/>
      <c r="AK56" s="1341"/>
      <c r="AL56" s="1341"/>
      <c r="AM56" s="1341"/>
      <c r="AN56" s="1341"/>
      <c r="AO56" s="1341"/>
      <c r="AP56" s="1341"/>
      <c r="AQ56" s="1341"/>
      <c r="AR56" s="1341"/>
      <c r="AS56" s="1341"/>
      <c r="AT56" s="1341"/>
      <c r="AU56" s="1341"/>
      <c r="AV56" s="1341"/>
      <c r="AW56" s="1341"/>
      <c r="AX56" s="1341"/>
      <c r="AY56" s="1341"/>
      <c r="AZ56" s="1341"/>
      <c r="BA56" s="1341"/>
      <c r="BB56" s="1341"/>
      <c r="BC56" s="1341"/>
      <c r="BD56" s="1341"/>
      <c r="BE56" s="1341"/>
      <c r="BF56" s="1341"/>
      <c r="BG56" s="1341"/>
      <c r="BH56" s="1341"/>
      <c r="BI56" s="1341"/>
      <c r="BJ56" s="1341"/>
      <c r="BK56" s="1341"/>
      <c r="BL56" s="1341"/>
      <c r="BM56" s="1341"/>
      <c r="BN56" s="1341"/>
      <c r="BO56" s="1341"/>
      <c r="BP56" s="1341"/>
      <c r="BQ56" s="1341"/>
      <c r="BR56" s="1341"/>
      <c r="BS56" s="1341"/>
      <c r="BT56" s="1341"/>
      <c r="BU56" s="1341"/>
      <c r="BV56" s="1341"/>
      <c r="BW56" s="1341"/>
      <c r="BX56" s="1341"/>
      <c r="BY56" s="1341"/>
      <c r="BZ56" s="1341"/>
      <c r="CA56" s="1341"/>
      <c r="CC56" s="496"/>
      <c r="CD56" s="496" t="str">
        <f>IF(T56="","",T56)</f>
        <v>Добавить территорию для дифференциации</v>
      </c>
      <c r="CE56" s="496"/>
      <c r="CF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180</v>
      </c>
      <c r="U57" s="1341"/>
      <c r="V57" s="1341"/>
      <c r="W57" s="1341"/>
      <c r="X57" s="1341"/>
      <c r="Y57" s="1341"/>
      <c r="Z57" s="1341"/>
      <c r="AA57" s="1341"/>
      <c r="AB57" s="1341"/>
      <c r="AC57" s="1341"/>
      <c r="AD57" s="1341"/>
      <c r="AE57" s="1341"/>
      <c r="AF57" s="1341"/>
      <c r="AG57" s="1341"/>
      <c r="AH57" s="1341"/>
      <c r="AI57" s="1341"/>
      <c r="AJ57" s="1341"/>
      <c r="AK57" s="1341"/>
      <c r="AL57" s="1341"/>
      <c r="AM57" s="1341"/>
      <c r="AN57" s="1341"/>
      <c r="AO57" s="1341"/>
      <c r="AP57" s="1341"/>
      <c r="AQ57" s="1341"/>
      <c r="AR57" s="1341"/>
      <c r="AS57" s="1341"/>
      <c r="AT57" s="1341"/>
      <c r="AU57" s="1341"/>
      <c r="AV57" s="1341"/>
      <c r="AW57" s="1341"/>
      <c r="AX57" s="1341"/>
      <c r="AY57" s="1341"/>
      <c r="AZ57" s="1341"/>
      <c r="BA57" s="1341"/>
      <c r="BB57" s="1341"/>
      <c r="BC57" s="1341"/>
      <c r="BD57" s="1341"/>
      <c r="BE57" s="1341"/>
      <c r="BF57" s="1341"/>
      <c r="BG57" s="1341"/>
      <c r="BH57" s="1341"/>
      <c r="BI57" s="1341"/>
      <c r="BJ57" s="1341"/>
      <c r="BK57" s="1341"/>
      <c r="BL57" s="1341"/>
      <c r="BM57" s="1341"/>
      <c r="BN57" s="1341"/>
      <c r="BO57" s="1341"/>
      <c r="BP57" s="1341"/>
      <c r="BQ57" s="1341"/>
      <c r="BR57" s="1341"/>
      <c r="BS57" s="1341"/>
      <c r="BT57" s="1341"/>
      <c r="BU57" s="1341"/>
      <c r="BV57" s="1341"/>
      <c r="BW57" s="1341"/>
      <c r="BX57" s="1341"/>
      <c r="BY57" s="1341"/>
      <c r="BZ57" s="1341"/>
      <c r="CA57" s="1341"/>
      <c r="CC57" s="783"/>
      <c r="CD57" s="783" t="str">
        <f>IF(T57="","",T57)</f>
        <v>Добавить наименование тарифа</v>
      </c>
      <c r="CE57" s="783"/>
      <c r="CF57" s="783"/>
    </row>
    <row customHeight="1" ht="11.25">
      <c r="M58" s="1155"/>
      <c r="N58" s="1155"/>
      <c r="O58" s="533"/>
      <c r="P58" s="1150"/>
      <c r="Q58" s="1150"/>
      <c r="R58" s="1150"/>
      <c r="S58" s="1150"/>
      <c r="AL58" s="1660"/>
      <c r="AM58" s="1660"/>
      <c r="AN58" s="1660"/>
      <c r="AO58" s="1660"/>
      <c r="AP58" s="1660"/>
      <c r="AQ58" s="1660"/>
      <c r="AR58" s="1660"/>
      <c r="AS58" s="1660"/>
      <c r="AT58" s="1660"/>
      <c r="AU58" s="1660"/>
      <c r="AV58" s="1660"/>
      <c r="AW58" s="1660"/>
      <c r="AX58" s="1660"/>
      <c r="AY58" s="1660"/>
      <c r="AZ58" s="1660"/>
      <c r="BA58" s="1660"/>
      <c r="BB58" s="1660"/>
      <c r="BC58" s="1660"/>
      <c r="BD58" s="1660"/>
      <c r="BE58" s="1660"/>
      <c r="BF58" s="1660"/>
      <c r="BG58" s="1660"/>
      <c r="BH58" s="1660"/>
      <c r="BI58" s="1660"/>
      <c r="BJ58" s="1660"/>
      <c r="BK58" s="1660"/>
      <c r="BL58" s="1660"/>
      <c r="BM58" s="1660"/>
      <c r="BN58" s="1660"/>
      <c r="BO58" s="1660"/>
      <c r="BP58" s="1660"/>
      <c r="BQ58" s="1660"/>
      <c r="BR58" s="1660"/>
      <c r="BS58" s="1660"/>
      <c r="BT58" s="1660"/>
      <c r="BU58" s="1660"/>
      <c r="BV58" s="1660"/>
      <c r="BW58" s="1660"/>
      <c r="BX58" s="1660"/>
      <c r="BY58" s="1660"/>
      <c r="CB58" s="1150"/>
      <c r="CC58" s="1150"/>
      <c r="CD58" s="1150"/>
      <c r="CE58" s="1150"/>
      <c r="CF58" s="1150"/>
    </row>
    <row customHeight="1" ht="18.75">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215"/>
      <c r="AM59" s="2215"/>
      <c r="AN59" s="2215"/>
      <c r="AO59" s="2215"/>
      <c r="AP59" s="2215"/>
      <c r="AQ59" s="2215"/>
      <c r="AR59" s="2215"/>
      <c r="AS59" s="2215"/>
      <c r="AT59" s="2215"/>
      <c r="AU59" s="2215"/>
      <c r="AV59" s="2215"/>
      <c r="AW59" s="2215"/>
      <c r="AX59" s="2215"/>
      <c r="AY59" s="2215"/>
      <c r="AZ59" s="2215"/>
      <c r="BA59" s="2215"/>
      <c r="BB59" s="2215"/>
      <c r="BC59" s="2215"/>
      <c r="BD59" s="2215"/>
      <c r="BE59" s="2215"/>
      <c r="BF59" s="2215"/>
      <c r="BG59" s="2215"/>
      <c r="BH59" s="2215"/>
      <c r="BI59" s="2215"/>
      <c r="BJ59" s="2215"/>
      <c r="BK59" s="2215"/>
      <c r="BL59" s="2215"/>
      <c r="BM59" s="2215"/>
      <c r="BN59" s="2215"/>
      <c r="BO59" s="2215"/>
      <c r="BP59" s="2215"/>
      <c r="BQ59" s="2215"/>
      <c r="BR59" s="2215"/>
      <c r="BS59" s="2215"/>
      <c r="BT59" s="2215"/>
      <c r="BU59" s="2215"/>
      <c r="BV59" s="2215"/>
      <c r="BW59" s="2215"/>
      <c r="BX59" s="2215"/>
      <c r="BY59" s="2215"/>
      <c r="BZ59" s="2088"/>
      <c r="CA59" s="2088"/>
    </row>
    <row customHeight="1" ht="27.75">
      <c r="O60" s="533"/>
      <c r="T60" s="2088"/>
      <c r="U60" s="2088"/>
      <c r="V60" s="2088"/>
      <c r="W60" s="2088"/>
      <c r="X60" s="2088"/>
      <c r="Y60" s="2088"/>
      <c r="Z60" s="2088"/>
      <c r="AA60" s="2088"/>
      <c r="AB60" s="2088"/>
      <c r="AC60" s="2088"/>
      <c r="AD60" s="2088"/>
      <c r="AE60" s="2088"/>
      <c r="AF60" s="2088"/>
      <c r="AG60" s="2088"/>
      <c r="AH60" s="2088"/>
      <c r="AI60" s="2088"/>
      <c r="AJ60" s="2088"/>
      <c r="AK60" s="2088"/>
      <c r="AL60" s="2215"/>
      <c r="AM60" s="2215"/>
      <c r="AN60" s="2215"/>
      <c r="AO60" s="2215"/>
      <c r="AP60" s="2215"/>
      <c r="AQ60" s="2215"/>
      <c r="AR60" s="2215"/>
      <c r="AS60" s="2215"/>
      <c r="AT60" s="2215"/>
      <c r="AU60" s="2215"/>
      <c r="AV60" s="2215"/>
      <c r="AW60" s="2215"/>
      <c r="AX60" s="2215"/>
      <c r="AY60" s="2215"/>
      <c r="AZ60" s="2215"/>
      <c r="BA60" s="2215"/>
      <c r="BB60" s="2215"/>
      <c r="BC60" s="2215"/>
      <c r="BD60" s="2215"/>
      <c r="BE60" s="2215"/>
      <c r="BF60" s="2215"/>
      <c r="BG60" s="2215"/>
      <c r="BH60" s="2215"/>
      <c r="BI60" s="2215"/>
      <c r="BJ60" s="2215"/>
      <c r="BK60" s="2215"/>
      <c r="BL60" s="2215"/>
      <c r="BM60" s="2215"/>
      <c r="BN60" s="2215"/>
      <c r="BO60" s="2215"/>
      <c r="BP60" s="2215"/>
      <c r="BQ60" s="2215"/>
      <c r="BR60" s="2215"/>
      <c r="BS60" s="2215"/>
      <c r="BT60" s="2215"/>
      <c r="BU60" s="2215"/>
      <c r="BV60" s="2215"/>
      <c r="BW60" s="2215"/>
      <c r="BX60" s="2215"/>
      <c r="BY60" s="2215"/>
      <c r="BZ60" s="2088"/>
      <c r="CA60" s="2088"/>
    </row>
    <row customHeight="1" ht="39.75">
      <c r="O61" s="533"/>
      <c r="T61" s="2088"/>
      <c r="U61" s="2088"/>
      <c r="V61" s="2088"/>
      <c r="W61" s="2088"/>
      <c r="X61" s="2088"/>
      <c r="Y61" s="2088"/>
      <c r="Z61" s="2088"/>
      <c r="AA61" s="2088"/>
      <c r="AB61" s="2088"/>
      <c r="AC61" s="2088"/>
      <c r="AD61" s="2088"/>
      <c r="AE61" s="2088"/>
      <c r="AF61" s="2088"/>
      <c r="AG61" s="2088"/>
      <c r="AH61" s="2088"/>
      <c r="AI61" s="2088"/>
      <c r="AJ61" s="2088"/>
      <c r="AK61" s="2088"/>
      <c r="AL61" s="2215"/>
      <c r="AM61" s="2215"/>
      <c r="AN61" s="2215"/>
      <c r="AO61" s="2215"/>
      <c r="AP61" s="2215"/>
      <c r="AQ61" s="2215"/>
      <c r="AR61" s="2215"/>
      <c r="AS61" s="2215"/>
      <c r="AT61" s="2215"/>
      <c r="AU61" s="2215"/>
      <c r="AV61" s="2215"/>
      <c r="AW61" s="2215"/>
      <c r="AX61" s="2215"/>
      <c r="AY61" s="2215"/>
      <c r="AZ61" s="2215"/>
      <c r="BA61" s="2215"/>
      <c r="BB61" s="2215"/>
      <c r="BC61" s="2215"/>
      <c r="BD61" s="2215"/>
      <c r="BE61" s="2215"/>
      <c r="BF61" s="2215"/>
      <c r="BG61" s="2215"/>
      <c r="BH61" s="2215"/>
      <c r="BI61" s="2215"/>
      <c r="BJ61" s="2215"/>
      <c r="BK61" s="2215"/>
      <c r="BL61" s="2215"/>
      <c r="BM61" s="2215"/>
      <c r="BN61" s="2215"/>
      <c r="BO61" s="2215"/>
      <c r="BP61" s="2215"/>
      <c r="BQ61" s="2215"/>
      <c r="BR61" s="2215"/>
      <c r="BS61" s="2215"/>
      <c r="BT61" s="2215"/>
      <c r="BU61" s="2215"/>
      <c r="BV61" s="2215"/>
      <c r="BW61" s="2215"/>
      <c r="BX61" s="2215"/>
      <c r="BY61" s="2215"/>
      <c r="BZ61" s="2088"/>
      <c r="CA61" s="2088"/>
    </row>
    <row customHeight="1" ht="14.25">
      <c r="O62" s="533"/>
      <c r="AL62" s="1660"/>
      <c r="AM62" s="1660"/>
      <c r="AN62" s="1660"/>
      <c r="AO62" s="1660"/>
      <c r="AP62" s="1660"/>
      <c r="AQ62" s="1660"/>
      <c r="AR62" s="1660"/>
      <c r="AS62" s="1660"/>
      <c r="AT62" s="1660"/>
      <c r="AU62" s="1660"/>
      <c r="AV62" s="1660"/>
      <c r="AW62" s="1660"/>
      <c r="AX62" s="1660"/>
      <c r="AY62" s="1660"/>
      <c r="AZ62" s="1660"/>
      <c r="BA62" s="1660"/>
      <c r="BB62" s="1660"/>
      <c r="BC62" s="1660"/>
      <c r="BD62" s="1660"/>
      <c r="BE62" s="1660"/>
      <c r="BF62" s="1660"/>
      <c r="BG62" s="1660"/>
      <c r="BH62" s="1660"/>
      <c r="BI62" s="1660"/>
      <c r="BJ62" s="1660"/>
      <c r="BK62" s="1660"/>
      <c r="BL62" s="1660"/>
      <c r="BM62" s="1660"/>
      <c r="BN62" s="1660"/>
      <c r="BO62" s="1660"/>
      <c r="BP62" s="1660"/>
      <c r="BQ62" s="1660"/>
      <c r="BR62" s="1660"/>
      <c r="BS62" s="1660"/>
      <c r="BT62" s="1660"/>
      <c r="BU62" s="1660"/>
      <c r="BV62" s="1660"/>
      <c r="BW62" s="1660"/>
      <c r="BX62" s="1660"/>
      <c r="BY62" s="1660"/>
    </row>
    <row customHeight="1" ht="19.5">
      <c r="O63" s="533"/>
      <c r="S63" s="1260"/>
      <c r="T63" s="2132"/>
      <c r="U63" s="2088"/>
      <c r="V63" s="2088"/>
      <c r="W63" s="2088"/>
      <c r="X63" s="2088"/>
      <c r="Y63" s="2088"/>
      <c r="Z63" s="2088"/>
      <c r="AA63" s="2088"/>
      <c r="AB63" s="2088"/>
      <c r="AC63" s="2088"/>
      <c r="AD63" s="2088"/>
      <c r="AE63" s="2088"/>
      <c r="AF63" s="2088"/>
      <c r="AG63" s="2088"/>
      <c r="AH63" s="2088"/>
      <c r="AI63" s="2088"/>
      <c r="AJ63" s="2088"/>
      <c r="AK63" s="2088"/>
      <c r="AL63" s="2215"/>
      <c r="AM63" s="2215"/>
      <c r="AN63" s="2215"/>
      <c r="AO63" s="2215"/>
      <c r="AP63" s="2215"/>
      <c r="AQ63" s="2215"/>
      <c r="AR63" s="2215"/>
      <c r="AS63" s="2215"/>
      <c r="AT63" s="2215"/>
      <c r="AU63" s="2215"/>
      <c r="AV63" s="2215"/>
      <c r="AW63" s="2215"/>
      <c r="AX63" s="2215"/>
      <c r="AY63" s="2215"/>
      <c r="AZ63" s="2215"/>
      <c r="BA63" s="2215"/>
      <c r="BB63" s="2215"/>
      <c r="BC63" s="2215"/>
      <c r="BD63" s="2215"/>
      <c r="BE63" s="2215"/>
      <c r="BF63" s="2215"/>
      <c r="BG63" s="2215"/>
      <c r="BH63" s="2215"/>
      <c r="BI63" s="2215"/>
      <c r="BJ63" s="2215"/>
      <c r="BK63" s="2215"/>
      <c r="BL63" s="2215"/>
      <c r="BM63" s="2215"/>
      <c r="BN63" s="2215"/>
      <c r="BO63" s="2215"/>
      <c r="BP63" s="2215"/>
      <c r="BQ63" s="2215"/>
      <c r="BR63" s="2215"/>
      <c r="BS63" s="2215"/>
      <c r="BT63" s="2215"/>
      <c r="BU63" s="2215"/>
      <c r="BV63" s="2215"/>
      <c r="BW63" s="2215"/>
      <c r="BX63" s="2215"/>
      <c r="BY63" s="2215"/>
      <c r="BZ63" s="2088"/>
      <c r="CA63" s="2088"/>
    </row>
    <row customHeight="1" ht="27.75">
      <c r="O64" s="533"/>
      <c r="T64" s="2088"/>
      <c r="U64" s="2088"/>
      <c r="V64" s="2088"/>
      <c r="W64" s="2088"/>
      <c r="X64" s="2088"/>
      <c r="Y64" s="2088"/>
      <c r="Z64" s="2088"/>
      <c r="AA64" s="2088"/>
      <c r="AB64" s="2088"/>
      <c r="AC64" s="2088"/>
      <c r="AD64" s="2088"/>
      <c r="AE64" s="2088"/>
      <c r="AF64" s="2088"/>
      <c r="AG64" s="2088"/>
      <c r="AH64" s="2088"/>
      <c r="AI64" s="2088"/>
      <c r="AJ64" s="2088"/>
      <c r="AK64" s="2088"/>
      <c r="AL64" s="2215"/>
      <c r="AM64" s="2215"/>
      <c r="AN64" s="2215"/>
      <c r="AO64" s="2215"/>
      <c r="AP64" s="2215"/>
      <c r="AQ64" s="2215"/>
      <c r="AR64" s="2215"/>
      <c r="AS64" s="2215"/>
      <c r="AT64" s="2215"/>
      <c r="AU64" s="2215"/>
      <c r="AV64" s="2215"/>
      <c r="AW64" s="2215"/>
      <c r="AX64" s="2215"/>
      <c r="AY64" s="2215"/>
      <c r="AZ64" s="2215"/>
      <c r="BA64" s="2215"/>
      <c r="BB64" s="2215"/>
      <c r="BC64" s="2215"/>
      <c r="BD64" s="2215"/>
      <c r="BE64" s="2215"/>
      <c r="BF64" s="2215"/>
      <c r="BG64" s="2215"/>
      <c r="BH64" s="2215"/>
      <c r="BI64" s="2215"/>
      <c r="BJ64" s="2215"/>
      <c r="BK64" s="2215"/>
      <c r="BL64" s="2215"/>
      <c r="BM64" s="2215"/>
      <c r="BN64" s="2215"/>
      <c r="BO64" s="2215"/>
      <c r="BP64" s="2215"/>
      <c r="BQ64" s="2215"/>
      <c r="BR64" s="2215"/>
      <c r="BS64" s="2215"/>
      <c r="BT64" s="2215"/>
      <c r="BU64" s="2215"/>
      <c r="BV64" s="2215"/>
      <c r="BW64" s="2215"/>
      <c r="BX64" s="2215"/>
      <c r="BY64" s="2215"/>
      <c r="BZ64" s="2088"/>
      <c r="CA64" s="2088"/>
    </row>
    <row customHeight="1" ht="33.75">
      <c r="T65" s="2088"/>
      <c r="U65" s="2088"/>
      <c r="V65" s="2088"/>
      <c r="W65" s="2088"/>
      <c r="X65" s="2088"/>
      <c r="Y65" s="2088"/>
      <c r="Z65" s="2088"/>
      <c r="AA65" s="2088"/>
      <c r="AB65" s="2088"/>
      <c r="AC65" s="2088"/>
      <c r="AD65" s="2088"/>
      <c r="AE65" s="2088"/>
      <c r="AF65" s="2088"/>
      <c r="AG65" s="2088"/>
      <c r="AH65" s="2088"/>
      <c r="AI65" s="2088"/>
      <c r="AJ65" s="2088"/>
      <c r="AK65" s="2088"/>
      <c r="AL65" s="2215"/>
      <c r="AM65" s="2215"/>
      <c r="AN65" s="2215"/>
      <c r="AO65" s="2215"/>
      <c r="AP65" s="2215"/>
      <c r="AQ65" s="2215"/>
      <c r="AR65" s="2215"/>
      <c r="AS65" s="2215"/>
      <c r="AT65" s="2215"/>
      <c r="AU65" s="2215"/>
      <c r="AV65" s="2215"/>
      <c r="AW65" s="2215"/>
      <c r="AX65" s="2215"/>
      <c r="AY65" s="2215"/>
      <c r="AZ65" s="2215"/>
      <c r="BA65" s="2215"/>
      <c r="BB65" s="2215"/>
      <c r="BC65" s="2215"/>
      <c r="BD65" s="2215"/>
      <c r="BE65" s="2215"/>
      <c r="BF65" s="2215"/>
      <c r="BG65" s="2215"/>
      <c r="BH65" s="2215"/>
      <c r="BI65" s="2215"/>
      <c r="BJ65" s="2215"/>
      <c r="BK65" s="2215"/>
      <c r="BL65" s="2215"/>
      <c r="BM65" s="2215"/>
      <c r="BN65" s="2215"/>
      <c r="BO65" s="2215"/>
      <c r="BP65" s="2215"/>
      <c r="BQ65" s="2215"/>
      <c r="BR65" s="2215"/>
      <c r="BS65" s="2215"/>
      <c r="BT65" s="2215"/>
      <c r="BU65" s="2215"/>
      <c r="BV65" s="2215"/>
      <c r="BW65" s="2215"/>
      <c r="BX65" s="2215"/>
      <c r="BY65" s="2215"/>
      <c r="BZ65" s="2088"/>
      <c r="CA65" s="2088"/>
    </row>
  </sheetData>
  <sheetProtection formatColumns="0" formatRows="0" autoFilter="0" sort="0" insertRows="0" insertColumns="1" deleteRows="0" deleteColumns="0"/>
  <mergeCells count="228">
    <mergeCell ref="V47:AC47"/>
    <mergeCell ref="AD47:BZ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BZ38"/>
    <mergeCell ref="S26:AJ26"/>
    <mergeCell ref="S27:AJ27"/>
    <mergeCell ref="AC49:AC50"/>
    <mergeCell ref="AA49:AA50"/>
    <mergeCell ref="AB49:AB50"/>
    <mergeCell ref="AH49:AH50"/>
    <mergeCell ref="AI49:AI50"/>
    <mergeCell ref="CA8:CA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CA38:CA41"/>
    <mergeCell ref="S39:S41"/>
    <mergeCell ref="T39:T41"/>
    <mergeCell ref="V39:AB39"/>
    <mergeCell ref="AC39:AC41"/>
    <mergeCell ref="AD39:AJ39"/>
    <mergeCell ref="AK39:AK41"/>
    <mergeCell ref="BZ39:BZ41"/>
    <mergeCell ref="V40:V41"/>
    <mergeCell ref="W40:W41"/>
    <mergeCell ref="X40:Y40"/>
    <mergeCell ref="Z40:AB40"/>
    <mergeCell ref="AD40:AD41"/>
    <mergeCell ref="CA49:CA51"/>
    <mergeCell ref="T59:CA59"/>
    <mergeCell ref="T60:CA60"/>
    <mergeCell ref="AA42:AB42"/>
    <mergeCell ref="AI42:AJ42"/>
    <mergeCell ref="E43:E56"/>
    <mergeCell ref="V43:AC43"/>
    <mergeCell ref="AD43:BZ43"/>
    <mergeCell ref="F44:F55"/>
    <mergeCell ref="V44:AC44"/>
    <mergeCell ref="AD44:BZ44"/>
    <mergeCell ref="G45:G54"/>
    <mergeCell ref="V45:AC45"/>
    <mergeCell ref="AD45:BZ45"/>
    <mergeCell ref="H46:H53"/>
    <mergeCell ref="V46:AC46"/>
    <mergeCell ref="AD46:BZ46"/>
    <mergeCell ref="P47:P52"/>
    <mergeCell ref="J48:J51"/>
    <mergeCell ref="Q48:Q51"/>
    <mergeCell ref="V48:AC48"/>
    <mergeCell ref="AD48:BZ48"/>
    <mergeCell ref="K49:K50"/>
    <mergeCell ref="Z49:Z50"/>
    <mergeCell ref="T64:CA64"/>
    <mergeCell ref="T65:CA65"/>
    <mergeCell ref="S35:T35"/>
    <mergeCell ref="V35:AB35"/>
    <mergeCell ref="AD35:AJ35"/>
    <mergeCell ref="S34:T34"/>
    <mergeCell ref="V34:AB34"/>
    <mergeCell ref="AD34:AJ34"/>
    <mergeCell ref="V2:AC2"/>
    <mergeCell ref="AD2:BZ2"/>
    <mergeCell ref="V3:AC3"/>
    <mergeCell ref="AD3:BZ3"/>
    <mergeCell ref="V4:AC4"/>
    <mergeCell ref="AD4:BZ4"/>
    <mergeCell ref="V5:AC5"/>
    <mergeCell ref="AD5:BZ5"/>
    <mergeCell ref="V6:AC6"/>
    <mergeCell ref="AD6:BZ6"/>
    <mergeCell ref="V7:AC7"/>
    <mergeCell ref="AD7:BZ7"/>
    <mergeCell ref="T63:CA63"/>
    <mergeCell ref="T61:CA61"/>
    <mergeCell ref="AJ49:AJ50"/>
    <mergeCell ref="AK49:AK50"/>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AX8:AX9"/>
    <mergeCell ref="AY8:AY9"/>
    <mergeCell ref="AZ8:AZ9"/>
    <mergeCell ref="BA8:BA9"/>
    <mergeCell ref="AT29:AZ29"/>
    <mergeCell ref="AT30:AZ30"/>
    <mergeCell ref="AT31:AZ31"/>
    <mergeCell ref="AT32:AZ32"/>
    <mergeCell ref="AT34:AZ34"/>
    <mergeCell ref="AT35:AZ35"/>
    <mergeCell ref="AT37:BA37"/>
    <mergeCell ref="AT39:AZ39"/>
    <mergeCell ref="BA39:BA41"/>
    <mergeCell ref="AT40:AT41"/>
    <mergeCell ref="AU40:AU41"/>
    <mergeCell ref="AV40:AW40"/>
    <mergeCell ref="AX40:AZ40"/>
    <mergeCell ref="AY41:AZ41"/>
    <mergeCell ref="AY42:AZ42"/>
    <mergeCell ref="AX49:AX50"/>
    <mergeCell ref="AY49:AY50"/>
    <mergeCell ref="AZ49:AZ50"/>
    <mergeCell ref="BA49:BA50"/>
    <mergeCell ref="BF8:BF9"/>
    <mergeCell ref="BG8:BG9"/>
    <mergeCell ref="BH8:BH9"/>
    <mergeCell ref="BI8:BI9"/>
    <mergeCell ref="BB29:BH29"/>
    <mergeCell ref="BB30:BH30"/>
    <mergeCell ref="BB31:BH31"/>
    <mergeCell ref="BB32:BH32"/>
    <mergeCell ref="BB34:BH34"/>
    <mergeCell ref="BB35:BH35"/>
    <mergeCell ref="BB37:BI37"/>
    <mergeCell ref="BB39:BH39"/>
    <mergeCell ref="BI39:BI41"/>
    <mergeCell ref="BB40:BB41"/>
    <mergeCell ref="BC40:BC41"/>
    <mergeCell ref="BD40:BE40"/>
    <mergeCell ref="BF40:BH40"/>
    <mergeCell ref="BG41:BH41"/>
    <mergeCell ref="BG42:BH42"/>
    <mergeCell ref="BF49:BF50"/>
    <mergeCell ref="BG49:BG50"/>
    <mergeCell ref="BH49:BH50"/>
    <mergeCell ref="BI49:BI50"/>
    <mergeCell ref="BN8:BN9"/>
    <mergeCell ref="BO8:BO9"/>
    <mergeCell ref="BP8:BP9"/>
    <mergeCell ref="BQ8:BQ9"/>
    <mergeCell ref="BJ29:BP29"/>
    <mergeCell ref="BJ30:BP30"/>
    <mergeCell ref="BJ31:BP31"/>
    <mergeCell ref="BJ32:BP32"/>
    <mergeCell ref="BJ34:BP34"/>
    <mergeCell ref="BJ35:BP35"/>
    <mergeCell ref="BJ37:BQ37"/>
    <mergeCell ref="BJ39:BP39"/>
    <mergeCell ref="BQ39:BQ41"/>
    <mergeCell ref="BJ40:BJ41"/>
    <mergeCell ref="BK40:BK41"/>
    <mergeCell ref="BL40:BM40"/>
    <mergeCell ref="BN40:BP40"/>
    <mergeCell ref="BO41:BP41"/>
    <mergeCell ref="BO42:BP42"/>
    <mergeCell ref="BN49:BN50"/>
    <mergeCell ref="BO49:BO50"/>
    <mergeCell ref="BP49:BP50"/>
    <mergeCell ref="BQ49:BQ50"/>
    <mergeCell ref="BV8:BV9"/>
    <mergeCell ref="BW8:BW9"/>
    <mergeCell ref="BX8:BX9"/>
    <mergeCell ref="BY8:BY9"/>
    <mergeCell ref="BR29:BX29"/>
    <mergeCell ref="BR30:BX30"/>
    <mergeCell ref="BR31:BX31"/>
    <mergeCell ref="BR32:BX32"/>
    <mergeCell ref="BR34:BX34"/>
    <mergeCell ref="BR35:BX35"/>
    <mergeCell ref="BR37:BY37"/>
    <mergeCell ref="BR39:BX39"/>
    <mergeCell ref="BY39:BY41"/>
    <mergeCell ref="BR40:BR41"/>
    <mergeCell ref="BS40:BS41"/>
    <mergeCell ref="BT40:BU40"/>
    <mergeCell ref="BV40:BX40"/>
    <mergeCell ref="BW41:BX41"/>
    <mergeCell ref="BW42:BX42"/>
    <mergeCell ref="BV49:BV50"/>
    <mergeCell ref="BW49:BW50"/>
    <mergeCell ref="BX49:BX50"/>
    <mergeCell ref="BY49:BY50"/>
  </mergeCells>
  <dataValidations count="8">
    <dataValidation allowBlank="1" sqref="S131123:CA131129 S196659:CA196665 S262195:CA262201 S327731:CA327737 S393267:CA393273 S458803:CA458809 S524339:CA524345 S589875:CA589881 S655411:CA655417 S720947:CA720953 S786483:CA786489 S852019:CA852025 S917555:CA917561 S983091:CA983097 S65587:CA65593"/>
    <dataValidation type="list" allowBlank="1" showInputMessage="1" errorTitle="Ошибка" error="Выберите значение из списка" prompt="Выберите значение из списка" sqref="V983088:BZ983088 V65584:BZ65584 V131120:BZ131120 V196656:BZ196656 V262192:BZ262192 V327728:BZ327728 V393264:BZ393264 V458800:BZ458800 V524336:BZ524336 V589872:BZ589872 V655408:BZ655408 V720944:BZ720944 V786480:BZ786480 V852016:BZ852016 V917552:BZ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CA65579:CA65586 CA131115:CA131122 CA196651:CA196658 CA262187:CA262194 CA327723:CA327730 CA393259:CA393266 CA458795:CA458802 CA524331:CA524338 CA589867:CA589874 CA655403:CA655410 CA720939:CA720946 CA786475:CA786482 CA852011:CA852018 CA917547:CA917554 CA983083:CA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AX8 AZ8 AX49 AZ49 BF8 BH8 BF49 BH49 BN8 BP8 BN49 BP49 BV8 BX8 BV49 BX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BY393265 AK49 AQ49 AS49 AY49 BA49 BG49 BI49 BO49 BQ49 BW49 BY49 AK524337:BY524337 AK8 AQ8 AS8 AY8 BA8 BG8 BI8 BO8 BQ8 BW8 BY8 AK589873:BY589873 AK655409:BY655409 AK17 AK720945:BY720945 AK786481:BY786481 AK852017:BY852017 AK917553:BY917553 AK983089:BY983089 AK65585:BY65585 AK131121:BY131121 AK458801:BY458801 AI49 AK196657:BY196657 AI8 AC8 AA8 AI17 AK262193:BY262193 AA49 AC49 AK327729:BY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AO9 AO50 AW9 AW50 BE9 BE50 BM9 BM50 BU9 BU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BE2A49-D059-D1BA-7CD9-11380460F477}"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hidden="1"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A1" s="1896"/>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122</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403</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404</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405</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406</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407</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408</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409</v>
      </c>
      <c r="AO5" s="496"/>
      <c r="AP5" s="496" t="str">
        <f>IF(T5="","",T5)</f>
        <v>Источник тепловой энергии  </v>
      </c>
      <c r="AQ5" s="496"/>
      <c r="AR5" s="496"/>
    </row>
    <row customHeight="1" ht="14.25" hidden="1">
      <c r="A6" s="1380"/>
      <c r="B6" s="1380"/>
      <c r="C6" s="1380"/>
      <c r="D6" s="1380"/>
      <c r="E6" s="2090"/>
      <c r="F6" s="2090"/>
      <c r="G6" s="2090"/>
      <c r="H6" s="2090"/>
      <c r="I6" s="2091">
        <f>S5&amp;".1"</f>
      </c>
      <c r="J6" s="1380"/>
      <c r="K6" s="1380"/>
      <c r="L6" s="1381" t="s">
        <v>410</v>
      </c>
      <c r="M6" s="533"/>
      <c r="P6" s="2093">
        <v>1</v>
      </c>
      <c r="Q6" s="1348"/>
      <c r="R6" s="344"/>
      <c r="S6" s="1037"/>
      <c r="T6" s="1400"/>
      <c r="U6" s="1401"/>
      <c r="V6" s="2129"/>
      <c r="W6" s="2130"/>
      <c r="X6" s="2130"/>
      <c r="Y6" s="2130"/>
      <c r="Z6" s="2130"/>
      <c r="AA6" s="2130"/>
      <c r="AB6" s="2130"/>
      <c r="AC6" s="2131"/>
      <c r="AD6" s="2129"/>
      <c r="AE6" s="2130"/>
      <c r="AF6" s="2130"/>
      <c r="AG6" s="2130"/>
      <c r="AH6" s="2130"/>
      <c r="AI6" s="2130"/>
      <c r="AJ6" s="2130"/>
      <c r="AK6" s="2130"/>
      <c r="AL6" s="2131"/>
      <c r="AM6" s="1402"/>
      <c r="AO6" s="496"/>
      <c r="AP6" s="496" t="str">
        <f>IF(T6="","",T6)</f>
        <v/>
      </c>
      <c r="AQ6" s="496"/>
      <c r="AR6" s="496"/>
    </row>
    <row customHeight="1" ht="21" hidden="1">
      <c r="A7" s="1380"/>
      <c r="B7" s="1380"/>
      <c r="C7" s="1380"/>
      <c r="D7" s="1380"/>
      <c r="E7" s="2090"/>
      <c r="F7" s="2090"/>
      <c r="G7" s="2090"/>
      <c r="H7" s="2090"/>
      <c r="I7" s="2092"/>
      <c r="J7" s="2091">
        <f>I6&amp;".1"</f>
      </c>
      <c r="K7" s="1380"/>
      <c r="L7" s="1381" t="s">
        <v>413</v>
      </c>
      <c r="M7" s="533"/>
      <c r="N7" s="1383"/>
      <c r="P7" s="2093"/>
      <c r="Q7" s="2093">
        <v>1</v>
      </c>
      <c r="R7" s="345"/>
      <c r="S7" s="1353">
        <f>$J7</f>
      </c>
      <c r="T7" s="267" t="s">
        <v>414</v>
      </c>
      <c r="U7" s="280"/>
      <c r="V7" s="2077"/>
      <c r="W7" s="2078"/>
      <c r="X7" s="2078"/>
      <c r="Y7" s="2078"/>
      <c r="Z7" s="2078"/>
      <c r="AA7" s="2078"/>
      <c r="AB7" s="2078"/>
      <c r="AC7" s="2079"/>
      <c r="AD7" s="2077"/>
      <c r="AE7" s="2078"/>
      <c r="AF7" s="2078"/>
      <c r="AG7" s="2078"/>
      <c r="AH7" s="2078"/>
      <c r="AI7" s="2078"/>
      <c r="AJ7" s="2078"/>
      <c r="AK7" s="2078"/>
      <c r="AL7" s="2079"/>
      <c r="AM7" s="1273" t="s">
        <v>415</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416</v>
      </c>
      <c r="M8" s="533"/>
      <c r="N8" s="1383"/>
      <c r="O8" s="1383"/>
      <c r="P8" s="2093"/>
      <c r="Q8" s="2093"/>
      <c r="R8" s="345">
        <v>1</v>
      </c>
      <c r="S8" s="1353">
        <f>$K8</f>
      </c>
      <c r="T8" s="1364"/>
      <c r="U8" s="280"/>
      <c r="V8" s="746"/>
      <c r="W8" s="312"/>
      <c r="X8" s="746"/>
      <c r="Y8" s="1272"/>
      <c r="Z8" s="2094"/>
      <c r="AA8" s="1963" t="s">
        <v>66</v>
      </c>
      <c r="AB8" s="2094"/>
      <c r="AC8" s="1963" t="s">
        <v>66</v>
      </c>
      <c r="AD8" s="746"/>
      <c r="AE8" s="312"/>
      <c r="AF8" s="746"/>
      <c r="AG8" s="1272"/>
      <c r="AH8" s="2094"/>
      <c r="AI8" s="1963" t="s">
        <v>66</v>
      </c>
      <c r="AJ8" s="2094"/>
      <c r="AK8" s="1963" t="s">
        <v>66</v>
      </c>
      <c r="AL8" s="312"/>
      <c r="AM8" s="2119" t="s">
        <v>417</v>
      </c>
      <c r="AN8" s="507">
        <f>STRCHECKDATE(V9:AL9)</f>
      </c>
      <c r="AO8" s="496"/>
      <c r="AP8" s="496" t="str">
        <f>IF(T8="","",T8)</f>
        <v/>
      </c>
      <c r="AQ8" s="496"/>
      <c r="AR8" s="496"/>
    </row>
    <row customHeight="1" ht="14.2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8" t="s">
        <v>418</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1.25" hidden="1">
      <c r="A11" s="1380"/>
      <c r="B11" s="1380"/>
      <c r="C11" s="1380"/>
      <c r="D11" s="1380"/>
      <c r="E11" s="2090"/>
      <c r="F11" s="2090"/>
      <c r="G11" s="2090"/>
      <c r="H11" s="2090"/>
      <c r="I11" s="2091"/>
      <c r="J11" s="1380"/>
      <c r="K11" s="1380"/>
      <c r="L11" s="1381"/>
      <c r="M11" s="533"/>
      <c r="P11" s="2093"/>
      <c r="Q11" s="1348"/>
      <c r="R11" s="344"/>
      <c r="S11" s="1295"/>
      <c r="T11" s="356" t="s">
        <v>419</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403"/>
      <c r="T12" s="1404"/>
      <c r="U12" s="1405"/>
      <c r="V12" s="1405"/>
      <c r="W12" s="1405"/>
      <c r="X12" s="1405"/>
      <c r="Y12" s="1405"/>
      <c r="Z12" s="1405"/>
      <c r="AA12" s="1405"/>
      <c r="AB12" s="1405"/>
      <c r="AC12" s="1405"/>
      <c r="AD12" s="1405"/>
      <c r="AE12" s="1405"/>
      <c r="AF12" s="1405"/>
      <c r="AG12" s="1405"/>
      <c r="AH12" s="1405"/>
      <c r="AI12" s="1405"/>
      <c r="AJ12" s="1405"/>
      <c r="AK12" s="1405"/>
      <c r="AL12" s="1405"/>
      <c r="AM12" s="1406"/>
      <c r="AO12" s="496"/>
      <c r="AP12" s="496" t="str">
        <f>IF(T12="","",T12)</f>
        <v/>
      </c>
      <c r="AQ12" s="496"/>
      <c r="AR12" s="496"/>
    </row>
    <row s="1667" customFormat="1" customHeight="1" ht="14.25" hidden="1">
      <c r="A13" s="1331"/>
      <c r="B13" s="1331"/>
      <c r="C13" s="1331"/>
      <c r="D13" s="1331"/>
      <c r="E13" s="2090"/>
      <c r="F13" s="2090"/>
      <c r="G13" s="2089"/>
      <c r="H13" s="1331"/>
      <c r="I13" s="1331"/>
      <c r="J13" s="1331"/>
      <c r="K13" s="1331"/>
      <c r="L13" s="1356"/>
      <c r="M13" s="1332"/>
      <c r="N13" s="1332"/>
      <c r="P13" s="1333"/>
      <c r="Q13" s="1334"/>
      <c r="R13" s="1333"/>
      <c r="S13" s="1335"/>
      <c r="T13" s="1336" t="s">
        <v>166</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14.25" hidden="1">
      <c r="A14" s="1331"/>
      <c r="B14" s="1331"/>
      <c r="C14" s="1331"/>
      <c r="D14" s="1331"/>
      <c r="E14" s="2090"/>
      <c r="F14" s="2089"/>
      <c r="G14" s="1331"/>
      <c r="H14" s="1331"/>
      <c r="I14" s="1331"/>
      <c r="J14" s="1331"/>
      <c r="K14" s="1331"/>
      <c r="L14" s="1356"/>
      <c r="M14" s="1338"/>
      <c r="N14" s="1338"/>
      <c r="P14" s="1333"/>
      <c r="Q14" s="1334"/>
      <c r="R14" s="1333"/>
      <c r="S14" s="1339"/>
      <c r="T14" s="1340" t="s">
        <v>167</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14.25" hidden="1">
      <c r="A15" s="1331"/>
      <c r="B15" s="1331"/>
      <c r="C15" s="1331"/>
      <c r="D15" s="1331"/>
      <c r="E15" s="2089"/>
      <c r="F15" s="1331"/>
      <c r="G15" s="1331"/>
      <c r="H15" s="1331"/>
      <c r="I15" s="1331"/>
      <c r="J15" s="1331"/>
      <c r="K15" s="1331"/>
      <c r="L15" s="1356"/>
      <c r="M15" s="1338"/>
      <c r="N15" s="1338"/>
      <c r="P15" s="1333"/>
      <c r="Q15" s="1334"/>
      <c r="R15" s="1333"/>
      <c r="S15" s="1339"/>
      <c r="T15" s="1342" t="s">
        <v>168</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66</v>
      </c>
      <c r="AJ17" s="2087"/>
      <c r="AK17" s="2086" t="s">
        <v>66</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421</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422</v>
      </c>
      <c r="P22" s="1379"/>
      <c r="Q22" s="1388"/>
      <c r="R22" s="1388"/>
      <c r="S22" s="724"/>
      <c r="T22" s="1155" t="s">
        <v>423</v>
      </c>
      <c r="AA22" s="166" t="s">
        <v>424</v>
      </c>
      <c r="AC22" s="166" t="s">
        <v>425</v>
      </c>
      <c r="AD22" s="1155" t="s">
        <v>423</v>
      </c>
      <c r="AI22" s="166" t="s">
        <v>426</v>
      </c>
      <c r="AK22" s="166" t="s">
        <v>425</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51.75">
      <c r="Q26" s="368"/>
      <c r="R26" s="368"/>
      <c r="S26" s="213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3"/>
      <c r="U26" s="2133"/>
      <c r="V26" s="2133"/>
      <c r="W26" s="2133"/>
      <c r="X26" s="2133"/>
      <c r="Y26" s="2133"/>
      <c r="Z26" s="2133"/>
      <c r="AA26" s="2133"/>
      <c r="AB26" s="2133"/>
      <c r="AC26" s="2133"/>
      <c r="AD26" s="2133"/>
      <c r="AE26" s="2133"/>
      <c r="AF26" s="2133"/>
      <c r="AG26" s="2133"/>
      <c r="AH26" s="2133"/>
      <c r="AI26" s="2133"/>
      <c r="AJ26" s="2133"/>
      <c r="AK26" s="1248"/>
    </row>
    <row customHeight="1" ht="14.25">
      <c r="Q27" s="368"/>
      <c r="R27" s="368"/>
      <c r="S27" s="2123" t="str">
        <f>IF(org=0,"Не определено",org)</f>
        <v>ООО "ПРОМ ИМПУЛЬС"</v>
      </c>
      <c r="T27" s="2123"/>
      <c r="U27" s="2123"/>
      <c r="V27" s="2123"/>
      <c r="W27" s="2123"/>
      <c r="X27" s="2123"/>
      <c r="Y27" s="2123"/>
      <c r="Z27" s="2123"/>
      <c r="AA27" s="2123"/>
      <c r="AB27" s="2123"/>
      <c r="AC27" s="2123"/>
      <c r="AD27" s="2123"/>
      <c r="AE27" s="2123"/>
      <c r="AF27" s="2123"/>
      <c r="AG27" s="2123"/>
      <c r="AH27" s="2123"/>
      <c r="AI27" s="2123"/>
      <c r="AJ27" s="2123"/>
      <c r="AK27" s="1248"/>
    </row>
    <row customHeight="1" ht="14.25">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Комитет по тарифам Санкт-Петербурга</v>
      </c>
      <c r="W29" s="2082"/>
      <c r="X29" s="2082"/>
      <c r="Y29" s="2082"/>
      <c r="Z29" s="2082"/>
      <c r="AA29" s="2082"/>
      <c r="AB29" s="2082"/>
      <c r="AC29" s="314"/>
      <c r="AD29" s="2082" t="str">
        <f>IF(TITLE_NAME_OR_PR_CHANGE="",IF(TITLE_NAME_OR_PR="","",TITLE_NAME_OR_PR),TITLE_NAME_OR_PR_CHANGE)</f>
        <v>Комитет по тарифам Санкт-Петербурга</v>
      </c>
      <c r="AE29" s="2082"/>
      <c r="AF29" s="2082"/>
      <c r="AG29" s="2082"/>
      <c r="AH29" s="2082"/>
      <c r="AI29" s="2082"/>
      <c r="AJ29" s="2082"/>
      <c r="AK29" s="314"/>
      <c r="AL29" s="314"/>
      <c r="AM29" s="261"/>
      <c r="AN29" s="360"/>
      <c r="AO29" s="360"/>
      <c r="AP29" s="360"/>
      <c r="AQ29" s="360"/>
      <c r="AR29" s="360"/>
    </row>
    <row s="1877" customFormat="1" customHeight="1" ht="18.75">
      <c r="A30" s="1385"/>
      <c r="B30" s="1385"/>
      <c r="C30" s="1385"/>
      <c r="D30" s="1385"/>
      <c r="E30" s="1385"/>
      <c r="F30" s="1385"/>
      <c r="G30" s="1385"/>
      <c r="H30" s="1385"/>
      <c r="I30" s="1385"/>
      <c r="J30" s="1385"/>
      <c r="K30" s="1385"/>
      <c r="L30" s="1386"/>
      <c r="M30" s="1385"/>
      <c r="N30" s="1385"/>
      <c r="O30" s="1385"/>
      <c r="S30" s="2080" t="s">
        <v>427</v>
      </c>
      <c r="T30" s="2080"/>
      <c r="U30" s="1389"/>
      <c r="V30" s="2081" t="str">
        <f>IF(TITLE_DATE_PR_CHANGE="",IF(TITLE_DATE_PR="","",TITLE_DATE_PR),TITLE_DATE_PR_CHANGE)</f>
        <v>45268.58207175926</v>
      </c>
      <c r="W30" s="2081"/>
      <c r="X30" s="2081"/>
      <c r="Y30" s="2081"/>
      <c r="Z30" s="2081"/>
      <c r="AA30" s="2081"/>
      <c r="AB30" s="2081"/>
      <c r="AC30" s="314"/>
      <c r="AD30" s="2081" t="str">
        <f>IF(TITLE_DATE_PR_CHANGE="",IF(TITLE_DATE_PR="","",TITLE_DATE_PR),TITLE_DATE_PR_CHANGE)</f>
        <v>45268.58207175926</v>
      </c>
      <c r="AE30" s="2081"/>
      <c r="AF30" s="2081"/>
      <c r="AG30" s="2081"/>
      <c r="AH30" s="2081"/>
      <c r="AI30" s="2081"/>
      <c r="AJ30" s="2081"/>
      <c r="AK30" s="314"/>
      <c r="AL30" s="314"/>
      <c r="AM30" s="261"/>
      <c r="AN30" s="360"/>
      <c r="AO30" s="360"/>
      <c r="AP30" s="360"/>
      <c r="AQ30" s="360"/>
      <c r="AR30" s="360"/>
    </row>
    <row s="1877" customFormat="1" customHeight="1" ht="18.75">
      <c r="A31" s="1385"/>
      <c r="B31" s="1385"/>
      <c r="C31" s="1385"/>
      <c r="D31" s="1385"/>
      <c r="E31" s="1385"/>
      <c r="F31" s="1385"/>
      <c r="G31" s="1385"/>
      <c r="H31" s="1385"/>
      <c r="I31" s="1385"/>
      <c r="J31" s="1385"/>
      <c r="K31" s="1385"/>
      <c r="L31" s="1386"/>
      <c r="M31" s="1385"/>
      <c r="N31" s="1385"/>
      <c r="O31" s="1385"/>
      <c r="S31" s="2080" t="s">
        <v>428</v>
      </c>
      <c r="T31" s="2080"/>
      <c r="U31" s="1389"/>
      <c r="V31" s="2082" t="str">
        <f>IF(TITLE_NUMBER_PR_CHANGE="",IF(TITLE_NUMBER_PR="","",TITLE_NUMBER_PR),TITLE_NUMBER_PR_CHANGE)</f>
        <v>237-р</v>
      </c>
      <c r="W31" s="2082"/>
      <c r="X31" s="2082"/>
      <c r="Y31" s="2082"/>
      <c r="Z31" s="2082"/>
      <c r="AA31" s="2082"/>
      <c r="AB31" s="2082"/>
      <c r="AC31" s="314"/>
      <c r="AD31" s="2082" t="str">
        <f>IF(TITLE_NUMBER_PR_CHANGE="",IF(TITLE_NUMBER_PR="","",TITLE_NUMBER_PR),TITLE_NUMBER_PR_CHANGE)</f>
        <v>237-р</v>
      </c>
      <c r="AE31" s="2082"/>
      <c r="AF31" s="2082"/>
      <c r="AG31" s="2082"/>
      <c r="AH31" s="2082"/>
      <c r="AI31" s="2082"/>
      <c r="AJ31" s="2082"/>
      <c r="AK31" s="314"/>
      <c r="AL31" s="314"/>
      <c r="AM31" s="261"/>
      <c r="AN31" s="360"/>
      <c r="AO31" s="360"/>
      <c r="AP31" s="360"/>
      <c r="AQ31" s="360"/>
      <c r="AR31" s="360"/>
    </row>
    <row s="1877" customFormat="1" customHeight="1" ht="18.75">
      <c r="A32" s="1385"/>
      <c r="B32" s="1385"/>
      <c r="C32" s="1385"/>
      <c r="D32" s="1385"/>
      <c r="E32" s="1385"/>
      <c r="F32" s="1385"/>
      <c r="G32" s="1385"/>
      <c r="H32" s="1385"/>
      <c r="I32" s="1385"/>
      <c r="J32" s="1385"/>
      <c r="K32" s="1385"/>
      <c r="L32" s="1386"/>
      <c r="M32" s="1385"/>
      <c r="N32" s="1385"/>
      <c r="O32" s="1385"/>
      <c r="S32" s="2080" t="s">
        <v>40</v>
      </c>
      <c r="T32" s="2080"/>
      <c r="U32" s="1389"/>
      <c r="V32" s="2082" t="str">
        <f>IF(TITLE_IST_PUB_CHANGE="",IF(TITLE_IST_PUB="","",TITLE_IST_PUB),TITLE_IST_PUB_CHANGE)</f>
        <v>https://www.gov.spb.ru/gov/otrasl/energ_kom/inform_/standarty-raskrytiya-informacii-komitetom/teplo/</v>
      </c>
      <c r="W32" s="2082"/>
      <c r="X32" s="2082"/>
      <c r="Y32" s="2082"/>
      <c r="Z32" s="2082"/>
      <c r="AA32" s="2082"/>
      <c r="AB32" s="2082"/>
      <c r="AC32" s="314"/>
      <c r="AD32" s="2082" t="str">
        <f>IF(TITLE_IST_PUB_CHANGE="",IF(TITLE_IST_PUB="","",TITLE_IST_PUB),TITLE_IST_PUB_CHANGE)</f>
        <v>https://www.gov.spb.ru/gov/otrasl/energ_kom/inform_/standarty-raskrytiya-informacii-komitetom/teplo/</v>
      </c>
      <c r="AE32" s="2082"/>
      <c r="AF32" s="2082"/>
      <c r="AG32" s="2082"/>
      <c r="AH32" s="2082"/>
      <c r="AI32" s="2082"/>
      <c r="AJ32" s="2082"/>
      <c r="AK32" s="314"/>
      <c r="AL32" s="314"/>
      <c r="AM32" s="261"/>
      <c r="AN32" s="360"/>
      <c r="AO32" s="360"/>
      <c r="AP32" s="360"/>
      <c r="AQ32" s="360"/>
      <c r="AR32" s="360"/>
    </row>
    <row customHeight="1" ht="14.25" hidden="1">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hidden="1">
      <c r="A34" s="1385"/>
      <c r="B34" s="1385"/>
      <c r="C34" s="1385"/>
      <c r="D34" s="1385"/>
      <c r="E34" s="1385"/>
      <c r="F34" s="1385"/>
      <c r="G34" s="1385"/>
      <c r="H34" s="1385"/>
      <c r="I34" s="1385"/>
      <c r="J34" s="1385"/>
      <c r="K34" s="1385"/>
      <c r="L34" s="1386"/>
      <c r="M34" s="1385"/>
      <c r="N34" s="1385"/>
      <c r="O34" s="1385"/>
      <c r="S34" s="2080" t="s">
        <v>429</v>
      </c>
      <c r="T34" s="2080"/>
      <c r="U34" s="1389"/>
      <c r="V34" s="2081" t="str">
        <f>IF(TITLE_DATE_PR_CHANGE="",IF(TITLE_DATE_PR="","",TITLE_DATE_PR),TITLE_DATE_PR_CHANGE)</f>
        <v>45268.58207175926</v>
      </c>
      <c r="W34" s="2081"/>
      <c r="X34" s="2081"/>
      <c r="Y34" s="2081"/>
      <c r="Z34" s="2081"/>
      <c r="AA34" s="2081"/>
      <c r="AB34" s="2081"/>
      <c r="AC34" s="314"/>
      <c r="AD34" s="2081" t="str">
        <f>IF(TITLE_DATE_PR_CHANGE="",IF(TITLE_DATE_PR="","",TITLE_DATE_PR),TITLE_DATE_PR_CHANGE)</f>
        <v>45268.58207175926</v>
      </c>
      <c r="AE34" s="2081"/>
      <c r="AF34" s="2081"/>
      <c r="AG34" s="2081"/>
      <c r="AH34" s="2081"/>
      <c r="AI34" s="2081"/>
      <c r="AJ34" s="2081"/>
      <c r="AK34" s="314"/>
      <c r="AL34" s="314"/>
      <c r="AM34" s="261"/>
      <c r="AN34" s="360"/>
      <c r="AO34" s="360"/>
      <c r="AP34" s="360"/>
      <c r="AQ34" s="360"/>
      <c r="AR34" s="360"/>
    </row>
    <row s="1877" customFormat="1" customHeight="1" ht="18.75" hidden="1">
      <c r="A35" s="1385"/>
      <c r="B35" s="1385"/>
      <c r="C35" s="1385"/>
      <c r="D35" s="1385"/>
      <c r="E35" s="1385"/>
      <c r="F35" s="1385"/>
      <c r="G35" s="1385"/>
      <c r="H35" s="1385"/>
      <c r="I35" s="1385"/>
      <c r="J35" s="1385"/>
      <c r="K35" s="1385"/>
      <c r="L35" s="1386"/>
      <c r="M35" s="1385"/>
      <c r="N35" s="1385"/>
      <c r="O35" s="1385"/>
      <c r="S35" s="2080" t="s">
        <v>430</v>
      </c>
      <c r="T35" s="2080"/>
      <c r="U35" s="1389"/>
      <c r="V35" s="2082" t="str">
        <f>IF(TITLE_NUMBER_PR_CHANGE="",IF(TITLE_NUMBER_PR="","",TITLE_NUMBER_PR),TITLE_NUMBER_PR_CHANGE)</f>
        <v>237-р</v>
      </c>
      <c r="W35" s="2082"/>
      <c r="X35" s="2082"/>
      <c r="Y35" s="2082"/>
      <c r="Z35" s="2082"/>
      <c r="AA35" s="2082"/>
      <c r="AB35" s="2082"/>
      <c r="AC35" s="314"/>
      <c r="AD35" s="2082" t="str">
        <f>IF(TITLE_NUMBER_PR_CHANGE="",IF(TITLE_NUMBER_PR="","",TITLE_NUMBER_PR),TITLE_NUMBER_PR_CHANGE)</f>
        <v>237-р</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431</v>
      </c>
      <c r="AD36" s="314"/>
      <c r="AE36" s="314"/>
      <c r="AF36" s="314"/>
      <c r="AG36" s="314"/>
      <c r="AH36" s="314"/>
      <c r="AI36" s="314"/>
      <c r="AJ36" s="314"/>
      <c r="AK36" s="259" t="s">
        <v>431</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305</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306</v>
      </c>
    </row>
    <row customHeight="1" ht="14.25">
      <c r="Q39" s="368"/>
      <c r="R39" s="368"/>
      <c r="S39" s="2107" t="s">
        <v>87</v>
      </c>
      <c r="T39" s="2044" t="s">
        <v>432</v>
      </c>
      <c r="U39" s="281"/>
      <c r="V39" s="2108" t="s">
        <v>433</v>
      </c>
      <c r="W39" s="2109"/>
      <c r="X39" s="2109"/>
      <c r="Y39" s="2109"/>
      <c r="Z39" s="2109"/>
      <c r="AA39" s="2109"/>
      <c r="AB39" s="2110"/>
      <c r="AC39" s="2111" t="s">
        <v>434</v>
      </c>
      <c r="AD39" s="2108" t="s">
        <v>433</v>
      </c>
      <c r="AE39" s="2109"/>
      <c r="AF39" s="2109"/>
      <c r="AG39" s="2109"/>
      <c r="AH39" s="2109"/>
      <c r="AI39" s="2109"/>
      <c r="AJ39" s="2110"/>
      <c r="AK39" s="2111" t="s">
        <v>435</v>
      </c>
      <c r="AL39" s="2114" t="s">
        <v>436</v>
      </c>
      <c r="AM39" s="1953"/>
    </row>
    <row customHeight="1" ht="33.75">
      <c r="Q40" s="368"/>
      <c r="R40" s="368"/>
      <c r="S40" s="2107"/>
      <c r="T40" s="2044"/>
      <c r="U40" s="1026"/>
      <c r="V40" s="2117" t="s">
        <v>437</v>
      </c>
      <c r="W40" s="2098"/>
      <c r="X40" s="2100" t="s">
        <v>439</v>
      </c>
      <c r="Y40" s="2102"/>
      <c r="Z40" s="2100" t="s">
        <v>440</v>
      </c>
      <c r="AA40" s="2101"/>
      <c r="AB40" s="2102"/>
      <c r="AC40" s="2112"/>
      <c r="AD40" s="2117" t="s">
        <v>437</v>
      </c>
      <c r="AE40" s="2098"/>
      <c r="AF40" s="2100" t="s">
        <v>439</v>
      </c>
      <c r="AG40" s="2102"/>
      <c r="AH40" s="2100" t="s">
        <v>440</v>
      </c>
      <c r="AI40" s="2101"/>
      <c r="AJ40" s="2102"/>
      <c r="AK40" s="2112"/>
      <c r="AL40" s="2115"/>
      <c r="AM40" s="1953"/>
    </row>
    <row customHeight="1" ht="33.75">
      <c r="A41" s="1387"/>
      <c r="B41" s="1387" t="s">
        <v>134</v>
      </c>
      <c r="C41" s="1387" t="s">
        <v>135</v>
      </c>
      <c r="D41" s="1387" t="s">
        <v>136</v>
      </c>
      <c r="E41" s="1381" t="s">
        <v>441</v>
      </c>
      <c r="F41" s="1381" t="s">
        <v>442</v>
      </c>
      <c r="G41" s="1381" t="s">
        <v>443</v>
      </c>
      <c r="H41" s="1381" t="s">
        <v>444</v>
      </c>
      <c r="I41" s="1381" t="s">
        <v>445</v>
      </c>
      <c r="J41" s="1381" t="s">
        <v>446</v>
      </c>
      <c r="K41" s="1381" t="s">
        <v>447</v>
      </c>
      <c r="L41" s="1381" t="s">
        <v>422</v>
      </c>
      <c r="Q41" s="368"/>
      <c r="R41" s="368"/>
      <c r="S41" s="2107"/>
      <c r="T41" s="2044"/>
      <c r="U41" s="282"/>
      <c r="V41" s="2118"/>
      <c r="W41" s="2099"/>
      <c r="X41" s="1224" t="s">
        <v>448</v>
      </c>
      <c r="Y41" s="1224" t="s">
        <v>449</v>
      </c>
      <c r="Z41" s="1355" t="s">
        <v>450</v>
      </c>
      <c r="AA41" s="2103" t="s">
        <v>451</v>
      </c>
      <c r="AB41" s="2104"/>
      <c r="AC41" s="2113"/>
      <c r="AD41" s="2118"/>
      <c r="AE41" s="2099"/>
      <c r="AF41" s="1224" t="s">
        <v>448</v>
      </c>
      <c r="AG41" s="1224" t="s">
        <v>449</v>
      </c>
      <c r="AH41" s="1355" t="s">
        <v>450</v>
      </c>
      <c r="AI41" s="2103" t="s">
        <v>451</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108</v>
      </c>
      <c r="T42" s="1268" t="s">
        <v>109</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199</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122</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6"/>
      <c r="AP43" s="496" t="str">
        <f>IF(T43="","",T43)</f>
        <v>Наименование тарифа</v>
      </c>
      <c r="AQ43" s="496"/>
      <c r="AR43" s="496"/>
    </row>
    <row customHeight="1" ht="21">
      <c r="A44" s="1380" t="s">
        <v>199</v>
      </c>
      <c r="B44" s="1380" t="s">
        <v>200</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404</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405</v>
      </c>
      <c r="AO44" s="496"/>
      <c r="AP44" s="496" t="str">
        <f>IF(T44="","",T44)</f>
        <v>Территория действия тарифа</v>
      </c>
      <c r="AQ44" s="496"/>
      <c r="AR44" s="496"/>
    </row>
    <row customHeight="1" ht="23.25">
      <c r="A45" s="1380" t="s">
        <v>199</v>
      </c>
      <c r="B45" s="1380" t="s">
        <v>200</v>
      </c>
      <c r="C45" s="1380" t="s">
        <v>201</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406</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407</v>
      </c>
      <c r="AO45" s="496"/>
      <c r="AP45" s="496" t="str">
        <f>IF(T45="","",T45)</f>
        <v>Наименование системы теплоснабжения </v>
      </c>
      <c r="AQ45" s="496"/>
      <c r="AR45" s="496"/>
    </row>
    <row customHeight="1" ht="21">
      <c r="A46" s="1380" t="s">
        <v>199</v>
      </c>
      <c r="B46" s="1380" t="s">
        <v>200</v>
      </c>
      <c r="C46" s="1380" t="s">
        <v>201</v>
      </c>
      <c r="D46" s="1380" t="s">
        <v>202</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408</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409</v>
      </c>
      <c r="AO46" s="496"/>
      <c r="AP46" s="496" t="str">
        <f>IF(T46="","",T46)</f>
        <v>Источник тепловой энергии  </v>
      </c>
      <c r="AQ46" s="496"/>
      <c r="AR46" s="496"/>
    </row>
    <row s="1667" customFormat="1" customHeight="1" ht="0">
      <c r="A47" s="1360" t="s">
        <v>199</v>
      </c>
      <c r="B47" s="1360" t="s">
        <v>200</v>
      </c>
      <c r="C47" s="1360" t="s">
        <v>201</v>
      </c>
      <c r="D47" s="1360" t="s">
        <v>202</v>
      </c>
      <c r="E47" s="2090"/>
      <c r="F47" s="2090"/>
      <c r="G47" s="2090"/>
      <c r="H47" s="2090"/>
      <c r="I47" s="2091" t="str">
        <f>S46&amp;".1"</f>
        <v>....1</v>
      </c>
      <c r="J47" s="1360"/>
      <c r="K47" s="1360"/>
      <c r="L47" s="1363" t="s">
        <v>410</v>
      </c>
      <c r="M47" s="506"/>
      <c r="N47" s="506"/>
      <c r="O47" s="506"/>
      <c r="P47" s="2093">
        <v>1</v>
      </c>
      <c r="Q47" s="1348"/>
      <c r="R47" s="344"/>
      <c r="S47" s="1037"/>
      <c r="T47" s="1400"/>
      <c r="U47" s="1401"/>
      <c r="V47" s="2129"/>
      <c r="W47" s="2130"/>
      <c r="X47" s="2130"/>
      <c r="Y47" s="2130"/>
      <c r="Z47" s="2130"/>
      <c r="AA47" s="2130"/>
      <c r="AB47" s="2130"/>
      <c r="AC47" s="2131"/>
      <c r="AD47" s="2129"/>
      <c r="AE47" s="2130"/>
      <c r="AF47" s="2130"/>
      <c r="AG47" s="2130"/>
      <c r="AH47" s="2130"/>
      <c r="AI47" s="2130"/>
      <c r="AJ47" s="2130"/>
      <c r="AK47" s="2130"/>
      <c r="AL47" s="2131"/>
      <c r="AM47" s="1402"/>
      <c r="AO47" s="496"/>
      <c r="AP47" s="496" t="str">
        <f>IF(T47="","",T47)</f>
        <v/>
      </c>
      <c r="AQ47" s="496"/>
      <c r="AR47" s="496"/>
    </row>
    <row customHeight="1" ht="21">
      <c r="A48" s="1380" t="s">
        <v>199</v>
      </c>
      <c r="B48" s="1380" t="s">
        <v>200</v>
      </c>
      <c r="C48" s="1380" t="s">
        <v>201</v>
      </c>
      <c r="D48" s="1380" t="s">
        <v>202</v>
      </c>
      <c r="E48" s="2090"/>
      <c r="F48" s="2090"/>
      <c r="G48" s="2090"/>
      <c r="H48" s="2090"/>
      <c r="I48" s="2092"/>
      <c r="J48" s="2091" t="str">
        <f>S46&amp;".1"</f>
        <v>....1</v>
      </c>
      <c r="K48" s="1380"/>
      <c r="L48" s="1381" t="s">
        <v>413</v>
      </c>
      <c r="P48" s="2093"/>
      <c r="Q48" s="2093">
        <v>1</v>
      </c>
      <c r="R48" s="345"/>
      <c r="S48" s="1353" t="str">
        <f>$J48</f>
        <v>....1</v>
      </c>
      <c r="T48" s="267" t="s">
        <v>414</v>
      </c>
      <c r="U48" s="280"/>
      <c r="V48" s="2077"/>
      <c r="W48" s="2078"/>
      <c r="X48" s="2078"/>
      <c r="Y48" s="2078"/>
      <c r="Z48" s="2078"/>
      <c r="AA48" s="2078"/>
      <c r="AB48" s="2078"/>
      <c r="AC48" s="2079"/>
      <c r="AD48" s="2077"/>
      <c r="AE48" s="2078"/>
      <c r="AF48" s="2078"/>
      <c r="AG48" s="2078"/>
      <c r="AH48" s="2078"/>
      <c r="AI48" s="2078"/>
      <c r="AJ48" s="2078"/>
      <c r="AK48" s="2078"/>
      <c r="AL48" s="2079"/>
      <c r="AM48" s="1273" t="s">
        <v>415</v>
      </c>
      <c r="AO48" s="496"/>
      <c r="AP48" s="496" t="str">
        <f>IF(T48="","",T48)</f>
        <v>Группа потребителей</v>
      </c>
      <c r="AQ48" s="496"/>
      <c r="AR48" s="496"/>
    </row>
    <row customHeight="1" ht="21">
      <c r="A49" s="1380" t="s">
        <v>199</v>
      </c>
      <c r="B49" s="1380" t="s">
        <v>200</v>
      </c>
      <c r="C49" s="1380" t="s">
        <v>201</v>
      </c>
      <c r="D49" s="1380" t="s">
        <v>202</v>
      </c>
      <c r="E49" s="2090"/>
      <c r="F49" s="2090"/>
      <c r="G49" s="2090"/>
      <c r="H49" s="2090"/>
      <c r="I49" s="2092"/>
      <c r="J49" s="2092"/>
      <c r="K49" s="2091" t="str">
        <f>J48&amp;".1"</f>
        <v>....1.1</v>
      </c>
      <c r="L49" s="1381" t="s">
        <v>416</v>
      </c>
      <c r="P49" s="2093"/>
      <c r="Q49" s="2093"/>
      <c r="R49" s="345">
        <v>1</v>
      </c>
      <c r="S49" s="1353" t="str">
        <f>$K49</f>
        <v>....1.1</v>
      </c>
      <c r="T49" s="1364"/>
      <c r="U49" s="280"/>
      <c r="V49" s="746"/>
      <c r="W49" s="312"/>
      <c r="X49" s="746"/>
      <c r="Y49" s="1272"/>
      <c r="Z49" s="2094"/>
      <c r="AA49" s="1963" t="s">
        <v>66</v>
      </c>
      <c r="AB49" s="2094"/>
      <c r="AC49" s="1963" t="s">
        <v>66</v>
      </c>
      <c r="AD49" s="746"/>
      <c r="AE49" s="312"/>
      <c r="AF49" s="746"/>
      <c r="AG49" s="1272"/>
      <c r="AH49" s="2094"/>
      <c r="AI49" s="1963" t="s">
        <v>66</v>
      </c>
      <c r="AJ49" s="2096"/>
      <c r="AK49" s="1963" t="s">
        <v>66</v>
      </c>
      <c r="AL49" s="1365"/>
      <c r="AM49" s="2119" t="s">
        <v>457</v>
      </c>
      <c r="AN49" s="507">
        <f>STRCHECKDATE(V50:AL50)</f>
      </c>
      <c r="AO49" s="496"/>
      <c r="AP49" s="496" t="str">
        <f>IF(T49="","",T49)</f>
        <v/>
      </c>
      <c r="AQ49" s="496"/>
      <c r="AR49" s="496"/>
    </row>
    <row customHeight="1" ht="0.75">
      <c r="A50" s="1380" t="s">
        <v>199</v>
      </c>
      <c r="B50" s="1380" t="s">
        <v>200</v>
      </c>
      <c r="C50" s="1380" t="s">
        <v>201</v>
      </c>
      <c r="D50" s="1380" t="s">
        <v>202</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199</v>
      </c>
      <c r="B51" s="1380" t="s">
        <v>200</v>
      </c>
      <c r="C51" s="1380" t="s">
        <v>201</v>
      </c>
      <c r="D51" s="1380" t="s">
        <v>202</v>
      </c>
      <c r="E51" s="2090"/>
      <c r="F51" s="2090"/>
      <c r="G51" s="2090"/>
      <c r="H51" s="2090"/>
      <c r="I51" s="2092"/>
      <c r="J51" s="2091"/>
      <c r="K51" s="1380"/>
      <c r="L51" s="1381"/>
      <c r="P51" s="2093"/>
      <c r="Q51" s="2093"/>
      <c r="R51" s="344"/>
      <c r="S51" s="1295"/>
      <c r="T51" s="268" t="s">
        <v>418</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199</v>
      </c>
      <c r="B52" s="1380" t="s">
        <v>200</v>
      </c>
      <c r="C52" s="1380" t="s">
        <v>201</v>
      </c>
      <c r="D52" s="1380" t="s">
        <v>202</v>
      </c>
      <c r="E52" s="2090"/>
      <c r="F52" s="2090"/>
      <c r="G52" s="2090"/>
      <c r="H52" s="2090"/>
      <c r="I52" s="2091"/>
      <c r="J52" s="1380"/>
      <c r="K52" s="1380"/>
      <c r="L52" s="1381"/>
      <c r="P52" s="2093"/>
      <c r="Q52" s="1348"/>
      <c r="R52" s="344"/>
      <c r="S52" s="1295"/>
      <c r="T52" s="356" t="s">
        <v>419</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0" t="s">
        <v>199</v>
      </c>
      <c r="B53" s="1380" t="s">
        <v>200</v>
      </c>
      <c r="C53" s="1380" t="s">
        <v>201</v>
      </c>
      <c r="D53" s="1380" t="s">
        <v>202</v>
      </c>
      <c r="E53" s="2090"/>
      <c r="F53" s="2090"/>
      <c r="G53" s="2090"/>
      <c r="H53" s="2089"/>
      <c r="I53" s="1380"/>
      <c r="J53" s="1380"/>
      <c r="K53" s="1380"/>
      <c r="L53" s="1381"/>
      <c r="M53" s="1382"/>
      <c r="N53" s="1382"/>
      <c r="O53" s="533"/>
      <c r="P53" s="348"/>
      <c r="Q53" s="367"/>
      <c r="R53" s="343"/>
      <c r="S53" s="1403"/>
      <c r="T53" s="1404"/>
      <c r="U53" s="1405"/>
      <c r="V53" s="1405"/>
      <c r="W53" s="1405"/>
      <c r="X53" s="1405"/>
      <c r="Y53" s="1405"/>
      <c r="Z53" s="1405"/>
      <c r="AA53" s="1405"/>
      <c r="AB53" s="1405"/>
      <c r="AC53" s="1405"/>
      <c r="AD53" s="1405"/>
      <c r="AE53" s="1405"/>
      <c r="AF53" s="1405"/>
      <c r="AG53" s="1405"/>
      <c r="AH53" s="1405"/>
      <c r="AI53" s="1405"/>
      <c r="AJ53" s="1405"/>
      <c r="AK53" s="1405"/>
      <c r="AL53" s="1405"/>
      <c r="AM53" s="1406"/>
      <c r="AO53" s="496"/>
      <c r="AP53" s="496" t="str">
        <f>IF(T53="","",T53)</f>
        <v/>
      </c>
      <c r="AQ53" s="496"/>
      <c r="AR53" s="496"/>
    </row>
    <row s="1667" customFormat="1" customHeight="1" ht="0.75">
      <c r="A54" s="1360" t="s">
        <v>199</v>
      </c>
      <c r="B54" s="1360" t="s">
        <v>200</v>
      </c>
      <c r="C54" s="1360" t="s">
        <v>201</v>
      </c>
      <c r="D54" s="1331"/>
      <c r="E54" s="2090"/>
      <c r="F54" s="2090"/>
      <c r="G54" s="2089"/>
      <c r="H54" s="1331"/>
      <c r="I54" s="1331"/>
      <c r="J54" s="1331"/>
      <c r="K54" s="1331"/>
      <c r="L54" s="1356"/>
      <c r="M54" s="1332"/>
      <c r="N54" s="1332"/>
      <c r="P54" s="1333"/>
      <c r="Q54" s="1334"/>
      <c r="R54" s="1333"/>
      <c r="S54" s="1339"/>
      <c r="T54" s="1342" t="s">
        <v>166</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199</v>
      </c>
      <c r="B55" s="1360" t="s">
        <v>200</v>
      </c>
      <c r="C55" s="1331"/>
      <c r="D55" s="1331"/>
      <c r="E55" s="2090"/>
      <c r="F55" s="2089"/>
      <c r="G55" s="1331"/>
      <c r="H55" s="1331"/>
      <c r="I55" s="1331"/>
      <c r="J55" s="1331"/>
      <c r="K55" s="1331"/>
      <c r="L55" s="1356"/>
      <c r="M55" s="1338"/>
      <c r="N55" s="1338"/>
      <c r="P55" s="1333"/>
      <c r="Q55" s="1334"/>
      <c r="R55" s="1333"/>
      <c r="S55" s="1339"/>
      <c r="T55" s="1342" t="s">
        <v>167</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199</v>
      </c>
      <c r="B56" s="1360"/>
      <c r="C56" s="1360"/>
      <c r="D56" s="1360"/>
      <c r="E56" s="2089"/>
      <c r="F56" s="1360"/>
      <c r="G56" s="1360"/>
      <c r="H56" s="1360"/>
      <c r="I56" s="1360"/>
      <c r="J56" s="1360"/>
      <c r="K56" s="1360"/>
      <c r="L56" s="1363"/>
      <c r="M56" s="1338"/>
      <c r="N56" s="1338"/>
      <c r="O56" s="514"/>
      <c r="P56" s="376"/>
      <c r="Q56" s="1361"/>
      <c r="R56" s="376"/>
      <c r="S56" s="1339"/>
      <c r="T56" s="1342" t="s">
        <v>168</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180</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21.75">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29.2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39.75">
      <c r="O61" s="533"/>
      <c r="T61" s="2088"/>
      <c r="U61" s="2088"/>
      <c r="V61" s="2088"/>
      <c r="W61" s="2088"/>
      <c r="X61" s="2088"/>
      <c r="Y61" s="2088"/>
      <c r="Z61" s="2088"/>
      <c r="AA61" s="2088"/>
      <c r="AB61" s="2088"/>
      <c r="AC61" s="2088"/>
      <c r="AD61" s="2088"/>
      <c r="AE61" s="2088"/>
      <c r="AF61" s="2088"/>
      <c r="AG61" s="2088"/>
      <c r="AH61" s="2088"/>
      <c r="AI61" s="2088"/>
      <c r="AJ61" s="2088"/>
      <c r="AK61" s="2088"/>
      <c r="AL61" s="2088"/>
      <c r="AM61" s="2088"/>
    </row>
    <row customHeight="1" ht="14.25">
      <c r="O62" s="533"/>
    </row>
    <row customHeight="1" ht="19.5">
      <c r="O63" s="533"/>
      <c r="S63" s="1260"/>
      <c r="T63" s="2132"/>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27.75">
      <c r="O64" s="533"/>
      <c r="T64" s="2088"/>
      <c r="U64" s="2088"/>
      <c r="V64" s="2088"/>
      <c r="W64" s="2088"/>
      <c r="X64" s="2088"/>
      <c r="Y64" s="2088"/>
      <c r="Z64" s="2088"/>
      <c r="AA64" s="2088"/>
      <c r="AB64" s="2088"/>
      <c r="AC64" s="2088"/>
      <c r="AD64" s="2088"/>
      <c r="AE64" s="2088"/>
      <c r="AF64" s="2088"/>
      <c r="AG64" s="2088"/>
      <c r="AH64" s="2088"/>
      <c r="AI64" s="2088"/>
      <c r="AJ64" s="2088"/>
      <c r="AK64" s="2088"/>
      <c r="AL64" s="2088"/>
      <c r="AM64" s="2088"/>
    </row>
    <row customHeight="1" ht="33.75">
      <c r="T65" s="2088"/>
      <c r="U65" s="2088"/>
      <c r="V65" s="2088"/>
      <c r="W65" s="2088"/>
      <c r="X65" s="2088"/>
      <c r="Y65" s="2088"/>
      <c r="Z65" s="2088"/>
      <c r="AA65" s="2088"/>
      <c r="AB65" s="2088"/>
      <c r="AC65" s="2088"/>
      <c r="AD65" s="2088"/>
      <c r="AE65" s="2088"/>
      <c r="AF65" s="2088"/>
      <c r="AG65" s="2088"/>
      <c r="AH65" s="2088"/>
      <c r="AI65" s="2088"/>
      <c r="AJ65" s="2088"/>
      <c r="AK65" s="2088"/>
      <c r="AL65" s="2088"/>
      <c r="AM65" s="2088"/>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DAF203-2AEF-DF3A-094E-51C30255A631}"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hidden="1"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122</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403</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404</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405</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406</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407</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408</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409</v>
      </c>
      <c r="AO5" s="496"/>
      <c r="AP5" s="496" t="str">
        <f>IF(T5="","",T5)</f>
        <v>Источник тепловой энергии  </v>
      </c>
      <c r="AQ5" s="496"/>
      <c r="AR5" s="496"/>
    </row>
    <row customHeight="1" ht="14.25" hidden="1">
      <c r="A6" s="1380"/>
      <c r="B6" s="1380"/>
      <c r="C6" s="1380"/>
      <c r="D6" s="1380"/>
      <c r="E6" s="2090"/>
      <c r="F6" s="2090"/>
      <c r="G6" s="2090"/>
      <c r="H6" s="2090"/>
      <c r="I6" s="2091">
        <f>S5&amp;".1"</f>
      </c>
      <c r="J6" s="1380"/>
      <c r="K6" s="1380"/>
      <c r="L6" s="1381" t="s">
        <v>410</v>
      </c>
      <c r="M6" s="533"/>
      <c r="P6" s="2093">
        <v>1</v>
      </c>
      <c r="Q6" s="1348"/>
      <c r="R6" s="344"/>
      <c r="S6" s="1037"/>
      <c r="T6" s="1400"/>
      <c r="U6" s="1401"/>
      <c r="V6" s="2129"/>
      <c r="W6" s="2130"/>
      <c r="X6" s="2130"/>
      <c r="Y6" s="2130"/>
      <c r="Z6" s="2130"/>
      <c r="AA6" s="2130"/>
      <c r="AB6" s="2130"/>
      <c r="AC6" s="2131"/>
      <c r="AD6" s="2129"/>
      <c r="AE6" s="2130"/>
      <c r="AF6" s="2130"/>
      <c r="AG6" s="2130"/>
      <c r="AH6" s="2130"/>
      <c r="AI6" s="2130"/>
      <c r="AJ6" s="2130"/>
      <c r="AK6" s="2130"/>
      <c r="AL6" s="2131"/>
      <c r="AM6" s="1402"/>
      <c r="AO6" s="496"/>
      <c r="AP6" s="496" t="str">
        <f>IF(T6="","",T6)</f>
        <v/>
      </c>
      <c r="AQ6" s="496"/>
      <c r="AR6" s="496"/>
    </row>
    <row customHeight="1" ht="21" hidden="1">
      <c r="A7" s="1380"/>
      <c r="B7" s="1380"/>
      <c r="C7" s="1380"/>
      <c r="D7" s="1380"/>
      <c r="E7" s="2090"/>
      <c r="F7" s="2090"/>
      <c r="G7" s="2090"/>
      <c r="H7" s="2090"/>
      <c r="I7" s="2092"/>
      <c r="J7" s="2091">
        <f>I6&amp;".1"</f>
      </c>
      <c r="K7" s="1380"/>
      <c r="L7" s="1381" t="s">
        <v>413</v>
      </c>
      <c r="M7" s="533"/>
      <c r="N7" s="1383"/>
      <c r="P7" s="2093"/>
      <c r="Q7" s="2093">
        <v>1</v>
      </c>
      <c r="R7" s="345"/>
      <c r="S7" s="1353">
        <f>$J7</f>
      </c>
      <c r="T7" s="267" t="s">
        <v>414</v>
      </c>
      <c r="U7" s="280"/>
      <c r="V7" s="2077"/>
      <c r="W7" s="2078"/>
      <c r="X7" s="2078"/>
      <c r="Y7" s="2078"/>
      <c r="Z7" s="2078"/>
      <c r="AA7" s="2078"/>
      <c r="AB7" s="2078"/>
      <c r="AC7" s="2079"/>
      <c r="AD7" s="2077"/>
      <c r="AE7" s="2078"/>
      <c r="AF7" s="2078"/>
      <c r="AG7" s="2078"/>
      <c r="AH7" s="2078"/>
      <c r="AI7" s="2078"/>
      <c r="AJ7" s="2078"/>
      <c r="AK7" s="2078"/>
      <c r="AL7" s="2079"/>
      <c r="AM7" s="1273" t="s">
        <v>415</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416</v>
      </c>
      <c r="M8" s="533"/>
      <c r="N8" s="1383"/>
      <c r="O8" s="1383"/>
      <c r="P8" s="2093"/>
      <c r="Q8" s="2093"/>
      <c r="R8" s="345">
        <v>1</v>
      </c>
      <c r="S8" s="1353">
        <f>$K8</f>
      </c>
      <c r="T8" s="1364"/>
      <c r="U8" s="280"/>
      <c r="V8" s="746"/>
      <c r="W8" s="312"/>
      <c r="X8" s="746"/>
      <c r="Y8" s="1272"/>
      <c r="Z8" s="2094"/>
      <c r="AA8" s="1963" t="s">
        <v>66</v>
      </c>
      <c r="AB8" s="2094"/>
      <c r="AC8" s="1963" t="s">
        <v>66</v>
      </c>
      <c r="AD8" s="746"/>
      <c r="AE8" s="312"/>
      <c r="AF8" s="746"/>
      <c r="AG8" s="1272"/>
      <c r="AH8" s="2094"/>
      <c r="AI8" s="1963" t="s">
        <v>66</v>
      </c>
      <c r="AJ8" s="2094"/>
      <c r="AK8" s="1963" t="s">
        <v>66</v>
      </c>
      <c r="AL8" s="312"/>
      <c r="AM8" s="2119" t="s">
        <v>417</v>
      </c>
      <c r="AN8" s="507">
        <f>STRCHECKDATE(V9:AL9)</f>
      </c>
      <c r="AO8" s="496"/>
      <c r="AP8" s="496" t="str">
        <f>IF(T8="","",T8)</f>
        <v/>
      </c>
      <c r="AQ8" s="496"/>
      <c r="AR8" s="496"/>
    </row>
    <row customHeight="1" ht="14.2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8" t="s">
        <v>418</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1.25" hidden="1">
      <c r="A11" s="1380"/>
      <c r="B11" s="1380"/>
      <c r="C11" s="1380"/>
      <c r="D11" s="1380"/>
      <c r="E11" s="2090"/>
      <c r="F11" s="2090"/>
      <c r="G11" s="2090"/>
      <c r="H11" s="2090"/>
      <c r="I11" s="2091"/>
      <c r="J11" s="1380"/>
      <c r="K11" s="1380"/>
      <c r="L11" s="1381"/>
      <c r="M11" s="533"/>
      <c r="P11" s="2093"/>
      <c r="Q11" s="1348"/>
      <c r="R11" s="344"/>
      <c r="S11" s="1295"/>
      <c r="T11" s="356" t="s">
        <v>419</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403"/>
      <c r="T12" s="1404"/>
      <c r="U12" s="1405"/>
      <c r="V12" s="1405"/>
      <c r="W12" s="1405"/>
      <c r="X12" s="1405"/>
      <c r="Y12" s="1405"/>
      <c r="Z12" s="1405"/>
      <c r="AA12" s="1405"/>
      <c r="AB12" s="1405"/>
      <c r="AC12" s="1405"/>
      <c r="AD12" s="1405"/>
      <c r="AE12" s="1405"/>
      <c r="AF12" s="1405"/>
      <c r="AG12" s="1405"/>
      <c r="AH12" s="1405"/>
      <c r="AI12" s="1405"/>
      <c r="AJ12" s="1405"/>
      <c r="AK12" s="1405"/>
      <c r="AL12" s="1405"/>
      <c r="AM12" s="1406"/>
      <c r="AO12" s="496"/>
      <c r="AP12" s="496" t="str">
        <f>IF(T12="","",T12)</f>
        <v/>
      </c>
      <c r="AQ12" s="496"/>
      <c r="AR12" s="496"/>
    </row>
    <row s="1667" customFormat="1" customHeight="1" ht="14.25" hidden="1">
      <c r="A13" s="1331"/>
      <c r="B13" s="1331"/>
      <c r="C13" s="1331"/>
      <c r="D13" s="1331"/>
      <c r="E13" s="2090"/>
      <c r="F13" s="2090"/>
      <c r="G13" s="2089"/>
      <c r="H13" s="1331"/>
      <c r="I13" s="1331"/>
      <c r="J13" s="1331"/>
      <c r="K13" s="1331"/>
      <c r="L13" s="1356"/>
      <c r="M13" s="1332"/>
      <c r="N13" s="1332"/>
      <c r="P13" s="1333"/>
      <c r="Q13" s="1334"/>
      <c r="R13" s="1333"/>
      <c r="S13" s="1335"/>
      <c r="T13" s="1336" t="s">
        <v>166</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14.25" hidden="1">
      <c r="A14" s="1331"/>
      <c r="B14" s="1331"/>
      <c r="C14" s="1331"/>
      <c r="D14" s="1331"/>
      <c r="E14" s="2090"/>
      <c r="F14" s="2089"/>
      <c r="G14" s="1331"/>
      <c r="H14" s="1331"/>
      <c r="I14" s="1331"/>
      <c r="J14" s="1331"/>
      <c r="K14" s="1331"/>
      <c r="L14" s="1356"/>
      <c r="M14" s="1338"/>
      <c r="N14" s="1338"/>
      <c r="P14" s="1333"/>
      <c r="Q14" s="1334"/>
      <c r="R14" s="1333"/>
      <c r="S14" s="1339"/>
      <c r="T14" s="1340" t="s">
        <v>167</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14.25" hidden="1">
      <c r="A15" s="1331"/>
      <c r="B15" s="1331"/>
      <c r="C15" s="1331"/>
      <c r="D15" s="1331"/>
      <c r="E15" s="2089"/>
      <c r="F15" s="1331"/>
      <c r="G15" s="1331"/>
      <c r="H15" s="1331"/>
      <c r="I15" s="1331"/>
      <c r="J15" s="1331"/>
      <c r="K15" s="1331"/>
      <c r="L15" s="1356"/>
      <c r="M15" s="1338"/>
      <c r="N15" s="1338"/>
      <c r="P15" s="1333"/>
      <c r="Q15" s="1334"/>
      <c r="R15" s="1333"/>
      <c r="S15" s="1339"/>
      <c r="T15" s="1342" t="s">
        <v>168</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66</v>
      </c>
      <c r="AJ17" s="2087"/>
      <c r="AK17" s="2086" t="s">
        <v>66</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421</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422</v>
      </c>
      <c r="P22" s="1379"/>
      <c r="Q22" s="1388"/>
      <c r="R22" s="1388"/>
      <c r="S22" s="724"/>
      <c r="T22" s="1155" t="s">
        <v>423</v>
      </c>
      <c r="AA22" s="166" t="s">
        <v>424</v>
      </c>
      <c r="AC22" s="166" t="s">
        <v>425</v>
      </c>
      <c r="AD22" s="1155" t="s">
        <v>423</v>
      </c>
      <c r="AI22" s="166" t="s">
        <v>426</v>
      </c>
      <c r="AK22" s="166" t="s">
        <v>425</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51">
      <c r="Q26" s="368"/>
      <c r="R26" s="368"/>
      <c r="S26" s="2122"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ООО "ПРОМ ИМПУЛЬС"</v>
      </c>
      <c r="T27" s="2123"/>
      <c r="U27" s="2123"/>
      <c r="V27" s="2123"/>
      <c r="W27" s="2123"/>
      <c r="X27" s="2123"/>
      <c r="Y27" s="2123"/>
      <c r="Z27" s="2123"/>
      <c r="AA27" s="2123"/>
      <c r="AB27" s="2123"/>
      <c r="AC27" s="2123"/>
      <c r="AD27" s="2123"/>
      <c r="AE27" s="2123"/>
      <c r="AF27" s="2123"/>
      <c r="AG27" s="2123"/>
      <c r="AH27" s="2123"/>
      <c r="AI27" s="2123"/>
      <c r="AJ27" s="2123"/>
      <c r="AK27" s="1248"/>
    </row>
    <row customHeight="1" ht="14.25">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Комитет по тарифам Санкт-Петербурга</v>
      </c>
      <c r="W29" s="2082"/>
      <c r="X29" s="2082"/>
      <c r="Y29" s="2082"/>
      <c r="Z29" s="2082"/>
      <c r="AA29" s="2082"/>
      <c r="AB29" s="2082"/>
      <c r="AC29" s="314"/>
      <c r="AD29" s="2082" t="str">
        <f>IF(TITLE_NAME_OR_PR_CHANGE="",IF(TITLE_NAME_OR_PR="","",TITLE_NAME_OR_PR),TITLE_NAME_OR_PR_CHANGE)</f>
        <v>Комитет по тарифам Санкт-Петербурга</v>
      </c>
      <c r="AE29" s="2082"/>
      <c r="AF29" s="2082"/>
      <c r="AG29" s="2082"/>
      <c r="AH29" s="2082"/>
      <c r="AI29" s="2082"/>
      <c r="AJ29" s="2082"/>
      <c r="AK29" s="314"/>
      <c r="AL29" s="314"/>
      <c r="AM29" s="261"/>
      <c r="AN29" s="360"/>
      <c r="AO29" s="360"/>
      <c r="AP29" s="360"/>
      <c r="AQ29" s="360"/>
      <c r="AR29" s="360"/>
    </row>
    <row s="1877" customFormat="1" customHeight="1" ht="18.75">
      <c r="A30" s="1385"/>
      <c r="B30" s="1385"/>
      <c r="C30" s="1385"/>
      <c r="D30" s="1385"/>
      <c r="E30" s="1385"/>
      <c r="F30" s="1385"/>
      <c r="G30" s="1385"/>
      <c r="H30" s="1385"/>
      <c r="I30" s="1385"/>
      <c r="J30" s="1385"/>
      <c r="K30" s="1385"/>
      <c r="L30" s="1386"/>
      <c r="M30" s="1385"/>
      <c r="N30" s="1385"/>
      <c r="O30" s="1385"/>
      <c r="S30" s="2080" t="s">
        <v>427</v>
      </c>
      <c r="T30" s="2080"/>
      <c r="U30" s="1389"/>
      <c r="V30" s="2081" t="str">
        <f>IF(TITLE_DATE_PR_CHANGE="",IF(TITLE_DATE_PR="","",TITLE_DATE_PR),TITLE_DATE_PR_CHANGE)</f>
        <v>45268.58207175926</v>
      </c>
      <c r="W30" s="2081"/>
      <c r="X30" s="2081"/>
      <c r="Y30" s="2081"/>
      <c r="Z30" s="2081"/>
      <c r="AA30" s="2081"/>
      <c r="AB30" s="2081"/>
      <c r="AC30" s="314"/>
      <c r="AD30" s="2081" t="str">
        <f>IF(TITLE_DATE_PR_CHANGE="",IF(TITLE_DATE_PR="","",TITLE_DATE_PR),TITLE_DATE_PR_CHANGE)</f>
        <v>45268.58207175926</v>
      </c>
      <c r="AE30" s="2081"/>
      <c r="AF30" s="2081"/>
      <c r="AG30" s="2081"/>
      <c r="AH30" s="2081"/>
      <c r="AI30" s="2081"/>
      <c r="AJ30" s="2081"/>
      <c r="AK30" s="314"/>
      <c r="AL30" s="314"/>
      <c r="AM30" s="261"/>
      <c r="AN30" s="360"/>
      <c r="AO30" s="360"/>
      <c r="AP30" s="360"/>
      <c r="AQ30" s="360"/>
      <c r="AR30" s="360"/>
    </row>
    <row s="1877" customFormat="1" customHeight="1" ht="18.75">
      <c r="A31" s="1385"/>
      <c r="B31" s="1385"/>
      <c r="C31" s="1385"/>
      <c r="D31" s="1385"/>
      <c r="E31" s="1385"/>
      <c r="F31" s="1385"/>
      <c r="G31" s="1385"/>
      <c r="H31" s="1385"/>
      <c r="I31" s="1385"/>
      <c r="J31" s="1385"/>
      <c r="K31" s="1385"/>
      <c r="L31" s="1386"/>
      <c r="M31" s="1385"/>
      <c r="N31" s="1385"/>
      <c r="O31" s="1385"/>
      <c r="S31" s="2080" t="s">
        <v>428</v>
      </c>
      <c r="T31" s="2080"/>
      <c r="U31" s="1389"/>
      <c r="V31" s="2082" t="str">
        <f>IF(TITLE_NUMBER_PR_CHANGE="",IF(TITLE_NUMBER_PR="","",TITLE_NUMBER_PR),TITLE_NUMBER_PR_CHANGE)</f>
        <v>237-р</v>
      </c>
      <c r="W31" s="2082"/>
      <c r="X31" s="2082"/>
      <c r="Y31" s="2082"/>
      <c r="Z31" s="2082"/>
      <c r="AA31" s="2082"/>
      <c r="AB31" s="2082"/>
      <c r="AC31" s="314"/>
      <c r="AD31" s="2082" t="str">
        <f>IF(TITLE_NUMBER_PR_CHANGE="",IF(TITLE_NUMBER_PR="","",TITLE_NUMBER_PR),TITLE_NUMBER_PR_CHANGE)</f>
        <v>237-р</v>
      </c>
      <c r="AE31" s="2082"/>
      <c r="AF31" s="2082"/>
      <c r="AG31" s="2082"/>
      <c r="AH31" s="2082"/>
      <c r="AI31" s="2082"/>
      <c r="AJ31" s="2082"/>
      <c r="AK31" s="314"/>
      <c r="AL31" s="314"/>
      <c r="AM31" s="261"/>
      <c r="AN31" s="360"/>
      <c r="AO31" s="360"/>
      <c r="AP31" s="360"/>
      <c r="AQ31" s="360"/>
      <c r="AR31" s="360"/>
    </row>
    <row s="1877" customFormat="1" customHeight="1" ht="18.75">
      <c r="A32" s="1385"/>
      <c r="B32" s="1385"/>
      <c r="C32" s="1385"/>
      <c r="D32" s="1385"/>
      <c r="E32" s="1385"/>
      <c r="F32" s="1385"/>
      <c r="G32" s="1385"/>
      <c r="H32" s="1385"/>
      <c r="I32" s="1385"/>
      <c r="J32" s="1385"/>
      <c r="K32" s="1385"/>
      <c r="L32" s="1386"/>
      <c r="M32" s="1385"/>
      <c r="N32" s="1385"/>
      <c r="O32" s="1385"/>
      <c r="S32" s="2080" t="s">
        <v>40</v>
      </c>
      <c r="T32" s="2080"/>
      <c r="U32" s="1389"/>
      <c r="V32" s="2082" t="str">
        <f>IF(TITLE_IST_PUB_CHANGE="",IF(TITLE_IST_PUB="","",TITLE_IST_PUB),TITLE_IST_PUB_CHANGE)</f>
        <v>https://www.gov.spb.ru/gov/otrasl/energ_kom/inform_/standarty-raskrytiya-informacii-komitetom/teplo/</v>
      </c>
      <c r="W32" s="2082"/>
      <c r="X32" s="2082"/>
      <c r="Y32" s="2082"/>
      <c r="Z32" s="2082"/>
      <c r="AA32" s="2082"/>
      <c r="AB32" s="2082"/>
      <c r="AC32" s="314"/>
      <c r="AD32" s="2082" t="str">
        <f>IF(TITLE_IST_PUB_CHANGE="",IF(TITLE_IST_PUB="","",TITLE_IST_PUB),TITLE_IST_PUB_CHANGE)</f>
        <v>https://www.gov.spb.ru/gov/otrasl/energ_kom/inform_/standarty-raskrytiya-informacii-komitetom/teplo/</v>
      </c>
      <c r="AE32" s="2082"/>
      <c r="AF32" s="2082"/>
      <c r="AG32" s="2082"/>
      <c r="AH32" s="2082"/>
      <c r="AI32" s="2082"/>
      <c r="AJ32" s="2082"/>
      <c r="AK32" s="314"/>
      <c r="AL32" s="314"/>
      <c r="AM32" s="261"/>
      <c r="AN32" s="360"/>
      <c r="AO32" s="360"/>
      <c r="AP32" s="360"/>
      <c r="AQ32" s="360"/>
      <c r="AR32" s="360"/>
    </row>
    <row customHeight="1" ht="14.25" hidden="1">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hidden="1">
      <c r="A34" s="1385"/>
      <c r="B34" s="1385"/>
      <c r="C34" s="1385"/>
      <c r="D34" s="1385"/>
      <c r="E34" s="1385"/>
      <c r="F34" s="1385"/>
      <c r="G34" s="1385"/>
      <c r="H34" s="1385"/>
      <c r="I34" s="1385"/>
      <c r="J34" s="1385"/>
      <c r="K34" s="1385"/>
      <c r="L34" s="1386"/>
      <c r="M34" s="1385"/>
      <c r="N34" s="1385"/>
      <c r="O34" s="1385"/>
      <c r="S34" s="2080" t="s">
        <v>429</v>
      </c>
      <c r="T34" s="2080"/>
      <c r="U34" s="1389"/>
      <c r="V34" s="2081" t="str">
        <f>IF(TITLE_DATE_PR_CHANGE="",IF(TITLE_DATE_PR="","",TITLE_DATE_PR),TITLE_DATE_PR_CHANGE)</f>
        <v>45268.58207175926</v>
      </c>
      <c r="W34" s="2081"/>
      <c r="X34" s="2081"/>
      <c r="Y34" s="2081"/>
      <c r="Z34" s="2081"/>
      <c r="AA34" s="2081"/>
      <c r="AB34" s="2081"/>
      <c r="AC34" s="314"/>
      <c r="AD34" s="2081" t="str">
        <f>IF(TITLE_DATE_PR_CHANGE="",IF(TITLE_DATE_PR="","",TITLE_DATE_PR),TITLE_DATE_PR_CHANGE)</f>
        <v>45268.58207175926</v>
      </c>
      <c r="AE34" s="2081"/>
      <c r="AF34" s="2081"/>
      <c r="AG34" s="2081"/>
      <c r="AH34" s="2081"/>
      <c r="AI34" s="2081"/>
      <c r="AJ34" s="2081"/>
      <c r="AK34" s="314"/>
      <c r="AL34" s="314"/>
      <c r="AM34" s="261"/>
      <c r="AN34" s="360"/>
      <c r="AO34" s="360"/>
      <c r="AP34" s="360"/>
      <c r="AQ34" s="360"/>
      <c r="AR34" s="360"/>
    </row>
    <row s="1877" customFormat="1" customHeight="1" ht="25.5" hidden="1">
      <c r="A35" s="1385"/>
      <c r="B35" s="1385"/>
      <c r="C35" s="1385"/>
      <c r="D35" s="1385"/>
      <c r="E35" s="1385"/>
      <c r="F35" s="1385"/>
      <c r="G35" s="1385"/>
      <c r="H35" s="1385"/>
      <c r="I35" s="1385"/>
      <c r="J35" s="1385"/>
      <c r="K35" s="1385"/>
      <c r="L35" s="1386"/>
      <c r="M35" s="1385"/>
      <c r="N35" s="1385"/>
      <c r="O35" s="1385"/>
      <c r="S35" s="2080" t="s">
        <v>430</v>
      </c>
      <c r="T35" s="2080"/>
      <c r="U35" s="1389"/>
      <c r="V35" s="2082" t="str">
        <f>IF(TITLE_NUMBER_PR_CHANGE="",IF(TITLE_NUMBER_PR="","",TITLE_NUMBER_PR),TITLE_NUMBER_PR_CHANGE)</f>
        <v>237-р</v>
      </c>
      <c r="W35" s="2082"/>
      <c r="X35" s="2082"/>
      <c r="Y35" s="2082"/>
      <c r="Z35" s="2082"/>
      <c r="AA35" s="2082"/>
      <c r="AB35" s="2082"/>
      <c r="AC35" s="314"/>
      <c r="AD35" s="2082" t="str">
        <f>IF(TITLE_NUMBER_PR_CHANGE="",IF(TITLE_NUMBER_PR="","",TITLE_NUMBER_PR),TITLE_NUMBER_PR_CHANGE)</f>
        <v>237-р</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431</v>
      </c>
      <c r="AD36" s="314"/>
      <c r="AE36" s="314"/>
      <c r="AF36" s="314"/>
      <c r="AG36" s="314"/>
      <c r="AH36" s="314"/>
      <c r="AI36" s="314"/>
      <c r="AJ36" s="314"/>
      <c r="AK36" s="259" t="s">
        <v>431</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305</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306</v>
      </c>
    </row>
    <row customHeight="1" ht="14.25">
      <c r="Q39" s="368"/>
      <c r="R39" s="368"/>
      <c r="S39" s="2107" t="s">
        <v>87</v>
      </c>
      <c r="T39" s="2044" t="s">
        <v>432</v>
      </c>
      <c r="U39" s="281"/>
      <c r="V39" s="2108" t="s">
        <v>433</v>
      </c>
      <c r="W39" s="2109"/>
      <c r="X39" s="2109"/>
      <c r="Y39" s="2109"/>
      <c r="Z39" s="2109"/>
      <c r="AA39" s="2109"/>
      <c r="AB39" s="2110"/>
      <c r="AC39" s="2111" t="s">
        <v>434</v>
      </c>
      <c r="AD39" s="2108" t="s">
        <v>433</v>
      </c>
      <c r="AE39" s="2109"/>
      <c r="AF39" s="2109"/>
      <c r="AG39" s="2109"/>
      <c r="AH39" s="2109"/>
      <c r="AI39" s="2109"/>
      <c r="AJ39" s="2110"/>
      <c r="AK39" s="2111" t="s">
        <v>435</v>
      </c>
      <c r="AL39" s="2114" t="s">
        <v>436</v>
      </c>
      <c r="AM39" s="1953"/>
    </row>
    <row customHeight="1" ht="33.75">
      <c r="Q40" s="368"/>
      <c r="R40" s="368"/>
      <c r="S40" s="2107"/>
      <c r="T40" s="2044"/>
      <c r="U40" s="1026"/>
      <c r="V40" s="2117" t="s">
        <v>437</v>
      </c>
      <c r="W40" s="2098"/>
      <c r="X40" s="2100" t="s">
        <v>439</v>
      </c>
      <c r="Y40" s="2102"/>
      <c r="Z40" s="2100" t="s">
        <v>440</v>
      </c>
      <c r="AA40" s="2101"/>
      <c r="AB40" s="2102"/>
      <c r="AC40" s="2112"/>
      <c r="AD40" s="2117" t="s">
        <v>437</v>
      </c>
      <c r="AE40" s="2098"/>
      <c r="AF40" s="2100" t="s">
        <v>439</v>
      </c>
      <c r="AG40" s="2102"/>
      <c r="AH40" s="2100" t="s">
        <v>440</v>
      </c>
      <c r="AI40" s="2101"/>
      <c r="AJ40" s="2102"/>
      <c r="AK40" s="2112"/>
      <c r="AL40" s="2115"/>
      <c r="AM40" s="1953"/>
    </row>
    <row customHeight="1" ht="33.75">
      <c r="A41" s="1387"/>
      <c r="B41" s="1387" t="s">
        <v>134</v>
      </c>
      <c r="C41" s="1387" t="s">
        <v>135</v>
      </c>
      <c r="D41" s="1387" t="s">
        <v>136</v>
      </c>
      <c r="E41" s="1381" t="s">
        <v>441</v>
      </c>
      <c r="F41" s="1381" t="s">
        <v>442</v>
      </c>
      <c r="G41" s="1381" t="s">
        <v>443</v>
      </c>
      <c r="H41" s="1381" t="s">
        <v>444</v>
      </c>
      <c r="I41" s="1381" t="s">
        <v>445</v>
      </c>
      <c r="J41" s="1381" t="s">
        <v>446</v>
      </c>
      <c r="K41" s="1381" t="s">
        <v>447</v>
      </c>
      <c r="L41" s="1381" t="s">
        <v>422</v>
      </c>
      <c r="Q41" s="368"/>
      <c r="R41" s="368"/>
      <c r="S41" s="2107"/>
      <c r="T41" s="2044"/>
      <c r="U41" s="282"/>
      <c r="V41" s="2118"/>
      <c r="W41" s="2099"/>
      <c r="X41" s="1224" t="s">
        <v>448</v>
      </c>
      <c r="Y41" s="1224" t="s">
        <v>449</v>
      </c>
      <c r="Z41" s="1355" t="s">
        <v>450</v>
      </c>
      <c r="AA41" s="2103" t="s">
        <v>451</v>
      </c>
      <c r="AB41" s="2104"/>
      <c r="AC41" s="2113"/>
      <c r="AD41" s="2118"/>
      <c r="AE41" s="2099"/>
      <c r="AF41" s="1224" t="s">
        <v>448</v>
      </c>
      <c r="AG41" s="1224" t="s">
        <v>449</v>
      </c>
      <c r="AH41" s="1355" t="s">
        <v>450</v>
      </c>
      <c r="AI41" s="2103" t="s">
        <v>451</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108</v>
      </c>
      <c r="T42" s="1268" t="s">
        <v>109</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205</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122</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6"/>
      <c r="AP43" s="496" t="str">
        <f>IF(T43="","",T43)</f>
        <v>Наименование тарифа</v>
      </c>
      <c r="AQ43" s="496"/>
      <c r="AR43" s="496"/>
    </row>
    <row customHeight="1" ht="21">
      <c r="A44" s="1380" t="s">
        <v>205</v>
      </c>
      <c r="B44" s="1380" t="s">
        <v>206</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404</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405</v>
      </c>
      <c r="AO44" s="496"/>
      <c r="AP44" s="496" t="str">
        <f>IF(T44="","",T44)</f>
        <v>Территория действия тарифа</v>
      </c>
      <c r="AQ44" s="496"/>
      <c r="AR44" s="496"/>
    </row>
    <row customHeight="1" ht="23.25">
      <c r="A45" s="1380" t="s">
        <v>205</v>
      </c>
      <c r="B45" s="1380" t="s">
        <v>206</v>
      </c>
      <c r="C45" s="1380" t="s">
        <v>207</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406</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407</v>
      </c>
      <c r="AO45" s="496"/>
      <c r="AP45" s="496" t="str">
        <f>IF(T45="","",T45)</f>
        <v>Наименование системы теплоснабжения </v>
      </c>
      <c r="AQ45" s="496"/>
      <c r="AR45" s="496"/>
    </row>
    <row customHeight="1" ht="21">
      <c r="A46" s="1380" t="s">
        <v>205</v>
      </c>
      <c r="B46" s="1380" t="s">
        <v>206</v>
      </c>
      <c r="C46" s="1380" t="s">
        <v>207</v>
      </c>
      <c r="D46" s="1380" t="s">
        <v>208</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408</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409</v>
      </c>
      <c r="AO46" s="496"/>
      <c r="AP46" s="496" t="str">
        <f>IF(T46="","",T46)</f>
        <v>Источник тепловой энергии  </v>
      </c>
      <c r="AQ46" s="496"/>
      <c r="AR46" s="496"/>
    </row>
    <row s="1667" customFormat="1" customHeight="1" ht="0">
      <c r="A47" s="1360" t="s">
        <v>205</v>
      </c>
      <c r="B47" s="1360" t="s">
        <v>206</v>
      </c>
      <c r="C47" s="1360" t="s">
        <v>207</v>
      </c>
      <c r="D47" s="1360" t="s">
        <v>208</v>
      </c>
      <c r="E47" s="2090"/>
      <c r="F47" s="2090"/>
      <c r="G47" s="2090"/>
      <c r="H47" s="2090"/>
      <c r="I47" s="2091" t="str">
        <f>S46&amp;".1"</f>
        <v>....1</v>
      </c>
      <c r="J47" s="1360"/>
      <c r="K47" s="1360"/>
      <c r="L47" s="1363" t="s">
        <v>410</v>
      </c>
      <c r="M47" s="506"/>
      <c r="N47" s="506"/>
      <c r="O47" s="506"/>
      <c r="P47" s="2093">
        <v>1</v>
      </c>
      <c r="Q47" s="1348"/>
      <c r="R47" s="344"/>
      <c r="S47" s="1037"/>
      <c r="T47" s="1400"/>
      <c r="U47" s="1401"/>
      <c r="V47" s="2129"/>
      <c r="W47" s="2130"/>
      <c r="X47" s="2130"/>
      <c r="Y47" s="2130"/>
      <c r="Z47" s="2130"/>
      <c r="AA47" s="2130"/>
      <c r="AB47" s="2130"/>
      <c r="AC47" s="2131"/>
      <c r="AD47" s="2129"/>
      <c r="AE47" s="2130"/>
      <c r="AF47" s="2130"/>
      <c r="AG47" s="2130"/>
      <c r="AH47" s="2130"/>
      <c r="AI47" s="2130"/>
      <c r="AJ47" s="2130"/>
      <c r="AK47" s="2130"/>
      <c r="AL47" s="2131"/>
      <c r="AM47" s="1402"/>
      <c r="AO47" s="496"/>
      <c r="AP47" s="496" t="str">
        <f>IF(T47="","",T47)</f>
        <v/>
      </c>
      <c r="AQ47" s="496"/>
      <c r="AR47" s="496"/>
    </row>
    <row customHeight="1" ht="21">
      <c r="A48" s="1380" t="s">
        <v>205</v>
      </c>
      <c r="B48" s="1380" t="s">
        <v>206</v>
      </c>
      <c r="C48" s="1380" t="s">
        <v>207</v>
      </c>
      <c r="D48" s="1380" t="s">
        <v>208</v>
      </c>
      <c r="E48" s="2090"/>
      <c r="F48" s="2090"/>
      <c r="G48" s="2090"/>
      <c r="H48" s="2090"/>
      <c r="I48" s="2092"/>
      <c r="J48" s="2091" t="str">
        <f>S46&amp;".1"</f>
        <v>....1</v>
      </c>
      <c r="K48" s="1380"/>
      <c r="L48" s="1381" t="s">
        <v>413</v>
      </c>
      <c r="P48" s="2093"/>
      <c r="Q48" s="2093">
        <v>1</v>
      </c>
      <c r="R48" s="345"/>
      <c r="S48" s="1353" t="str">
        <f>$J48</f>
        <v>....1</v>
      </c>
      <c r="T48" s="267" t="s">
        <v>414</v>
      </c>
      <c r="U48" s="280"/>
      <c r="V48" s="2077"/>
      <c r="W48" s="2078"/>
      <c r="X48" s="2078"/>
      <c r="Y48" s="2078"/>
      <c r="Z48" s="2078"/>
      <c r="AA48" s="2078"/>
      <c r="AB48" s="2078"/>
      <c r="AC48" s="2079"/>
      <c r="AD48" s="2077"/>
      <c r="AE48" s="2078"/>
      <c r="AF48" s="2078"/>
      <c r="AG48" s="2078"/>
      <c r="AH48" s="2078"/>
      <c r="AI48" s="2078"/>
      <c r="AJ48" s="2078"/>
      <c r="AK48" s="2078"/>
      <c r="AL48" s="2079"/>
      <c r="AM48" s="1273" t="s">
        <v>415</v>
      </c>
      <c r="AO48" s="496"/>
      <c r="AP48" s="496" t="str">
        <f>IF(T48="","",T48)</f>
        <v>Группа потребителей</v>
      </c>
      <c r="AQ48" s="496"/>
      <c r="AR48" s="496"/>
    </row>
    <row customHeight="1" ht="21">
      <c r="A49" s="1380" t="s">
        <v>205</v>
      </c>
      <c r="B49" s="1380" t="s">
        <v>206</v>
      </c>
      <c r="C49" s="1380" t="s">
        <v>207</v>
      </c>
      <c r="D49" s="1380" t="s">
        <v>208</v>
      </c>
      <c r="E49" s="2090"/>
      <c r="F49" s="2090"/>
      <c r="G49" s="2090"/>
      <c r="H49" s="2090"/>
      <c r="I49" s="2092"/>
      <c r="J49" s="2092"/>
      <c r="K49" s="2091" t="str">
        <f>J48&amp;".1"</f>
        <v>....1.1</v>
      </c>
      <c r="L49" s="1381" t="s">
        <v>416</v>
      </c>
      <c r="P49" s="2093"/>
      <c r="Q49" s="2093"/>
      <c r="R49" s="345">
        <v>1</v>
      </c>
      <c r="S49" s="1353" t="str">
        <f>$K49</f>
        <v>....1.1</v>
      </c>
      <c r="T49" s="1364"/>
      <c r="U49" s="280"/>
      <c r="V49" s="746"/>
      <c r="W49" s="312"/>
      <c r="X49" s="746"/>
      <c r="Y49" s="1272"/>
      <c r="Z49" s="2094"/>
      <c r="AA49" s="1963" t="s">
        <v>66</v>
      </c>
      <c r="AB49" s="2094"/>
      <c r="AC49" s="1963" t="s">
        <v>66</v>
      </c>
      <c r="AD49" s="746"/>
      <c r="AE49" s="312"/>
      <c r="AF49" s="746"/>
      <c r="AG49" s="1272"/>
      <c r="AH49" s="2094"/>
      <c r="AI49" s="1963" t="s">
        <v>66</v>
      </c>
      <c r="AJ49" s="2096"/>
      <c r="AK49" s="1963" t="s">
        <v>66</v>
      </c>
      <c r="AL49" s="1365"/>
      <c r="AM49" s="2119" t="s">
        <v>457</v>
      </c>
      <c r="AN49" s="507">
        <f>STRCHECKDATE(V50:AL50)</f>
      </c>
      <c r="AO49" s="496"/>
      <c r="AP49" s="496" t="str">
        <f>IF(T49="","",T49)</f>
        <v/>
      </c>
      <c r="AQ49" s="496"/>
      <c r="AR49" s="496"/>
    </row>
    <row customHeight="1" ht="0">
      <c r="A50" s="1380" t="s">
        <v>205</v>
      </c>
      <c r="B50" s="1380" t="s">
        <v>206</v>
      </c>
      <c r="C50" s="1380" t="s">
        <v>207</v>
      </c>
      <c r="D50" s="1380" t="s">
        <v>208</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205</v>
      </c>
      <c r="B51" s="1380" t="s">
        <v>206</v>
      </c>
      <c r="C51" s="1380" t="s">
        <v>207</v>
      </c>
      <c r="D51" s="1380" t="s">
        <v>208</v>
      </c>
      <c r="E51" s="2090"/>
      <c r="F51" s="2090"/>
      <c r="G51" s="2090"/>
      <c r="H51" s="2090"/>
      <c r="I51" s="2092"/>
      <c r="J51" s="2091"/>
      <c r="K51" s="1380"/>
      <c r="L51" s="1381"/>
      <c r="P51" s="2093"/>
      <c r="Q51" s="2093"/>
      <c r="R51" s="344"/>
      <c r="S51" s="1295"/>
      <c r="T51" s="268" t="s">
        <v>418</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205</v>
      </c>
      <c r="B52" s="1380" t="s">
        <v>206</v>
      </c>
      <c r="C52" s="1380" t="s">
        <v>207</v>
      </c>
      <c r="D52" s="1380" t="s">
        <v>208</v>
      </c>
      <c r="E52" s="2090"/>
      <c r="F52" s="2090"/>
      <c r="G52" s="2090"/>
      <c r="H52" s="2090"/>
      <c r="I52" s="2091"/>
      <c r="J52" s="1380"/>
      <c r="K52" s="1380"/>
      <c r="L52" s="1381"/>
      <c r="P52" s="2093"/>
      <c r="Q52" s="1348"/>
      <c r="R52" s="344"/>
      <c r="S52" s="1295"/>
      <c r="T52" s="356" t="s">
        <v>419</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0" t="s">
        <v>205</v>
      </c>
      <c r="B53" s="1380" t="s">
        <v>206</v>
      </c>
      <c r="C53" s="1380" t="s">
        <v>207</v>
      </c>
      <c r="D53" s="1380" t="s">
        <v>208</v>
      </c>
      <c r="E53" s="2090"/>
      <c r="F53" s="2090"/>
      <c r="G53" s="2090"/>
      <c r="H53" s="2089"/>
      <c r="I53" s="1380"/>
      <c r="J53" s="1380"/>
      <c r="K53" s="1380"/>
      <c r="L53" s="1381"/>
      <c r="M53" s="1382"/>
      <c r="N53" s="1382"/>
      <c r="O53" s="533"/>
      <c r="P53" s="348"/>
      <c r="Q53" s="367"/>
      <c r="R53" s="343"/>
      <c r="S53" s="1403"/>
      <c r="T53" s="1404"/>
      <c r="U53" s="1405"/>
      <c r="V53" s="1405"/>
      <c r="W53" s="1405"/>
      <c r="X53" s="1405"/>
      <c r="Y53" s="1405"/>
      <c r="Z53" s="1405"/>
      <c r="AA53" s="1405"/>
      <c r="AB53" s="1405"/>
      <c r="AC53" s="1405"/>
      <c r="AD53" s="1405"/>
      <c r="AE53" s="1405"/>
      <c r="AF53" s="1405"/>
      <c r="AG53" s="1405"/>
      <c r="AH53" s="1405"/>
      <c r="AI53" s="1405"/>
      <c r="AJ53" s="1405"/>
      <c r="AK53" s="1405"/>
      <c r="AL53" s="1405"/>
      <c r="AM53" s="1406"/>
      <c r="AO53" s="496"/>
      <c r="AP53" s="496" t="str">
        <f>IF(T53="","",T53)</f>
        <v/>
      </c>
      <c r="AQ53" s="496"/>
      <c r="AR53" s="496"/>
    </row>
    <row s="1667" customFormat="1" customHeight="1" ht="0">
      <c r="A54" s="1360" t="s">
        <v>205</v>
      </c>
      <c r="B54" s="1360" t="s">
        <v>206</v>
      </c>
      <c r="C54" s="1360" t="s">
        <v>207</v>
      </c>
      <c r="D54" s="1331"/>
      <c r="E54" s="2090"/>
      <c r="F54" s="2090"/>
      <c r="G54" s="2089"/>
      <c r="H54" s="1331"/>
      <c r="I54" s="1331"/>
      <c r="J54" s="1331"/>
      <c r="K54" s="1331"/>
      <c r="L54" s="1356"/>
      <c r="M54" s="1332"/>
      <c r="N54" s="1332"/>
      <c r="P54" s="1333"/>
      <c r="Q54" s="1334"/>
      <c r="R54" s="1333"/>
      <c r="S54" s="1339"/>
      <c r="T54" s="1342" t="s">
        <v>166</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
      <c r="A55" s="1360" t="s">
        <v>205</v>
      </c>
      <c r="B55" s="1360" t="s">
        <v>206</v>
      </c>
      <c r="C55" s="1331"/>
      <c r="D55" s="1331"/>
      <c r="E55" s="2090"/>
      <c r="F55" s="2089"/>
      <c r="G55" s="1331"/>
      <c r="H55" s="1331"/>
      <c r="I55" s="1331"/>
      <c r="J55" s="1331"/>
      <c r="K55" s="1331"/>
      <c r="L55" s="1356"/>
      <c r="M55" s="1338"/>
      <c r="N55" s="1338"/>
      <c r="P55" s="1333"/>
      <c r="Q55" s="1334"/>
      <c r="R55" s="1333"/>
      <c r="S55" s="1339"/>
      <c r="T55" s="1342" t="s">
        <v>167</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
      <c r="A56" s="1360" t="s">
        <v>205</v>
      </c>
      <c r="B56" s="1360"/>
      <c r="C56" s="1360"/>
      <c r="D56" s="1360"/>
      <c r="E56" s="2089"/>
      <c r="F56" s="1360"/>
      <c r="G56" s="1360"/>
      <c r="H56" s="1360"/>
      <c r="I56" s="1360"/>
      <c r="J56" s="1360"/>
      <c r="K56" s="1360"/>
      <c r="L56" s="1363"/>
      <c r="M56" s="1338"/>
      <c r="N56" s="1338"/>
      <c r="O56" s="514"/>
      <c r="P56" s="376"/>
      <c r="Q56" s="1361"/>
      <c r="R56" s="376"/>
      <c r="S56" s="1339"/>
      <c r="T56" s="1342" t="s">
        <v>168</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5.25">
      <c r="A57" s="1331"/>
      <c r="B57" s="1331"/>
      <c r="C57" s="1331"/>
      <c r="D57" s="1331"/>
      <c r="E57" s="1360"/>
      <c r="F57" s="1331"/>
      <c r="G57" s="1331"/>
      <c r="H57" s="1331"/>
      <c r="I57" s="1331"/>
      <c r="J57" s="1331"/>
      <c r="K57" s="1331"/>
      <c r="L57" s="1356"/>
      <c r="M57" s="1338"/>
      <c r="N57" s="1338"/>
      <c r="P57" s="1333"/>
      <c r="Q57" s="1334"/>
      <c r="R57" s="1333"/>
      <c r="S57" s="1339"/>
      <c r="T57" s="1342" t="s">
        <v>180</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14.25">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14.2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c r="T61" s="2088"/>
      <c r="U61" s="2088"/>
      <c r="V61" s="2088"/>
      <c r="W61" s="2088"/>
      <c r="X61" s="2088"/>
      <c r="Y61" s="2088"/>
      <c r="Z61" s="2088"/>
      <c r="AA61" s="2088"/>
      <c r="AB61" s="2088"/>
      <c r="AC61" s="2088"/>
      <c r="AD61" s="2088"/>
      <c r="AE61" s="2088"/>
      <c r="AF61" s="2088"/>
      <c r="AG61" s="2088"/>
      <c r="AH61" s="2088"/>
      <c r="AI61" s="2088"/>
      <c r="AJ61" s="2088"/>
      <c r="AK61" s="2088"/>
      <c r="AL61" s="2088"/>
      <c r="AM61" s="2088"/>
    </row>
    <row customHeight="1" ht="14.25">
      <c r="O62" s="533"/>
    </row>
    <row customHeight="1" ht="14.25">
      <c r="O63" s="533"/>
      <c r="S63" s="1260"/>
      <c r="T63" s="2132"/>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14.25">
      <c r="O64" s="533"/>
      <c r="T64" s="2088"/>
      <c r="U64" s="2088"/>
      <c r="V64" s="2088"/>
      <c r="W64" s="2088"/>
      <c r="X64" s="2088"/>
      <c r="Y64" s="2088"/>
      <c r="Z64" s="2088"/>
      <c r="AA64" s="2088"/>
      <c r="AB64" s="2088"/>
      <c r="AC64" s="2088"/>
      <c r="AD64" s="2088"/>
      <c r="AE64" s="2088"/>
      <c r="AF64" s="2088"/>
      <c r="AG64" s="2088"/>
      <c r="AH64" s="2088"/>
      <c r="AI64" s="2088"/>
      <c r="AJ64" s="2088"/>
      <c r="AK64" s="2088"/>
      <c r="AL64" s="2088"/>
      <c r="AM64" s="2088"/>
    </row>
    <row customHeight="1" ht="14.25">
      <c r="T65" s="2088"/>
      <c r="U65" s="2088"/>
      <c r="V65" s="2088"/>
      <c r="W65" s="2088"/>
      <c r="X65" s="2088"/>
      <c r="Y65" s="2088"/>
      <c r="Z65" s="2088"/>
      <c r="AA65" s="2088"/>
      <c r="AB65" s="2088"/>
      <c r="AC65" s="2088"/>
      <c r="AD65" s="2088"/>
      <c r="AE65" s="2088"/>
      <c r="AF65" s="2088"/>
      <c r="AG65" s="2088"/>
      <c r="AH65" s="2088"/>
      <c r="AI65" s="2088"/>
      <c r="AJ65" s="2088"/>
      <c r="AK65" s="2088"/>
      <c r="AL65" s="2088"/>
      <c r="AM65" s="2088"/>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8875FC-E479-084A-FDDB-C9392811B66C}" mc:Ignorable="x14ac xr xr2 xr3">
  <sheetPr>
    <tabColor theme="6" tint="0.4"/>
  </sheetPr>
  <dimension ref="A1:DG77"/>
  <sheetViews>
    <sheetView topLeftCell="R47" showGridLines="0" zoomScale="80" workbookViewId="0" tabSelected="1">
      <selection activeCell="CV61" sqref="CV61"/>
    </sheetView>
  </sheetViews>
  <sheetFormatPr defaultColWidth="10.57421875" customHeight="1" defaultRowHeight="14.25"/>
  <cols>
    <col min="1" max="1" style="1660" width="10.57421875" hidden="1"/>
    <col min="2" max="2" style="1660" width="11.00390625" hidden="1" customWidth="1"/>
    <col min="3" max="3" style="1660" width="10.57421875" hidden="1"/>
    <col min="4" max="4" style="1660" width="11.8515625" hidden="1" customWidth="1"/>
    <col min="5" max="5" style="1660" width="10.00390625" hidden="1" customWidth="1"/>
    <col min="6" max="6" style="1660" width="8.7109375" hidden="1" customWidth="1"/>
    <col min="7" max="7" style="1660" width="7.57421875" hidden="1" customWidth="1"/>
    <col min="8" max="8" style="1660" width="11.421875" hidden="1" customWidth="1"/>
    <col min="9" max="9" style="1660" width="12.00390625" hidden="1" customWidth="1"/>
    <col min="10" max="10" style="1660" width="9.8515625" hidden="1" customWidth="1"/>
    <col min="11" max="12" style="1660" width="11.421875" hidden="1" customWidth="1"/>
    <col min="13" max="13" style="1951" width="19.140625" hidden="1" customWidth="1"/>
    <col min="14" max="15" style="2216" width="12.28125" hidden="1" customWidth="1"/>
    <col min="16" max="16" style="2216" width="23.421875" hidden="1" customWidth="1"/>
    <col min="17" max="17" style="2216" width="3.7109375" hidden="1" customWidth="1"/>
    <col min="18" max="20" style="332" width="3.7109375" customWidth="1"/>
    <col min="21" max="21" style="2229" width="12.7109375" customWidth="1"/>
    <col min="22" max="22" style="1660" width="32.00390625" customWidth="1"/>
    <col min="23" max="23" style="1660" width="0.140625" customWidth="1"/>
    <col min="24" max="28" style="1660" width="21.7109375" hidden="1" customWidth="1"/>
    <col min="29" max="29" style="1660" width="11.7109375" hidden="1" customWidth="1"/>
    <col min="30" max="30" style="1660" width="3.7109375" hidden="1" customWidth="1"/>
    <col min="31" max="31" style="1660" width="11.7109375" hidden="1" customWidth="1"/>
    <col min="32" max="32" style="1660" width="8.57421875" hidden="1" customWidth="1"/>
    <col min="33" max="33" style="1660" width="9.203125" customWidth="1"/>
    <col min="34" max="34" style="1660" width="13.4921875" customWidth="1"/>
    <col min="35" max="35" style="1660" width="21.7109375" customWidth="1"/>
    <col min="36" max="36" style="1660" width="6.98046875" customWidth="1"/>
    <col min="37" max="37" style="1660" width="5.08203125" customWidth="1"/>
    <col min="38" max="38" style="1660" width="11.7109375" customWidth="1"/>
    <col min="39" max="39" style="1660" width="3.7109375" customWidth="1"/>
    <col min="40" max="40" style="1660" width="11.7109375" customWidth="1"/>
    <col min="41" max="41" style="1660" width="8.57421875" customWidth="1"/>
    <col min="104" max="104" width="10.57421875" hidden="1"/>
    <col min="105" max="105" style="1660" width="4.7109375" customWidth="1"/>
    <col min="106" max="106" style="1660" width="115.7109375" customWidth="1"/>
    <col min="107" max="108" style="1667" width="10.57421875"/>
    <col min="109" max="109" style="1667" width="11.140625" customWidth="1"/>
    <col min="110" max="111" style="1667" width="10.57421875"/>
  </cols>
  <sheetData>
    <row customHeight="1" ht="14.25" hidden="1">
      <c r="AB1" s="315"/>
      <c r="AC1" s="315"/>
      <c r="AK1" s="315"/>
      <c r="AL1" s="315"/>
      <c r="AP1" s="1660"/>
      <c r="AQ1" s="1660"/>
      <c r="AR1" s="1660"/>
      <c r="AS1" s="1660"/>
      <c r="AT1" s="1660"/>
      <c r="AU1" s="1660"/>
      <c r="AV1" s="1660"/>
      <c r="AW1" s="1660"/>
      <c r="AX1" s="1660"/>
      <c r="AY1" s="1660"/>
      <c r="AZ1" s="1660"/>
      <c r="BA1" s="1660"/>
      <c r="BB1" s="1660"/>
      <c r="BC1" s="1660"/>
      <c r="BD1" s="1660"/>
      <c r="BE1" s="1660"/>
      <c r="BF1" s="1660"/>
      <c r="BG1" s="1660"/>
      <c r="BH1" s="1660"/>
      <c r="BI1" s="1660"/>
      <c r="BJ1" s="1660"/>
      <c r="BK1" s="1660"/>
      <c r="BL1" s="1660"/>
      <c r="BM1" s="1660"/>
      <c r="BN1" s="1660"/>
      <c r="BO1" s="1660"/>
      <c r="BP1" s="1660"/>
      <c r="BQ1" s="1660"/>
      <c r="BR1" s="1660"/>
      <c r="BS1" s="1660"/>
      <c r="BT1" s="1660"/>
      <c r="BU1" s="1660"/>
      <c r="BV1" s="1660"/>
      <c r="BW1" s="1660"/>
      <c r="BX1" s="1660"/>
      <c r="BY1" s="1660"/>
      <c r="BZ1" s="1660"/>
      <c r="CA1" s="1660"/>
      <c r="CB1" s="1660"/>
      <c r="CC1" s="1660"/>
      <c r="CD1" s="1660"/>
      <c r="CE1" s="1660"/>
      <c r="CF1" s="1660"/>
      <c r="CG1" s="1660"/>
      <c r="CH1" s="1660"/>
      <c r="CI1" s="1660"/>
      <c r="CJ1" s="1660"/>
      <c r="CK1" s="1660"/>
      <c r="CL1" s="1660"/>
      <c r="CM1" s="1660"/>
      <c r="CN1" s="1660"/>
      <c r="CO1" s="1660"/>
      <c r="CP1" s="1660"/>
      <c r="CQ1" s="1660"/>
      <c r="CR1" s="1660"/>
      <c r="CS1" s="1660"/>
      <c r="CT1" s="1660"/>
      <c r="CU1" s="1660"/>
      <c r="CV1" s="1660"/>
      <c r="CW1" s="1660"/>
      <c r="CX1" s="1660"/>
      <c r="CY1" s="1660"/>
      <c r="CZ1" s="1660"/>
    </row>
    <row customHeight="1" ht="21" hidden="1">
      <c r="A2" s="1283"/>
      <c r="B2" s="1283"/>
      <c r="C2" s="1283"/>
      <c r="D2" s="1283"/>
      <c r="E2" s="2149">
        <v>1</v>
      </c>
      <c r="F2" s="1283"/>
      <c r="G2" s="1283"/>
      <c r="H2" s="1283"/>
      <c r="I2" s="1283"/>
      <c r="J2" s="1283"/>
      <c r="K2" s="1283"/>
      <c r="L2" s="1283"/>
      <c r="M2" s="1327"/>
      <c r="N2" s="683"/>
      <c r="O2" s="683"/>
      <c r="P2" s="683"/>
      <c r="Q2" s="349"/>
      <c r="R2" s="348"/>
      <c r="S2" s="348"/>
      <c r="T2" s="343"/>
      <c r="U2" s="1353">
        <f>INDEX(PT_DIFFERENTIATION_NUM_NTAR,MATCH(A2,PT_DIFFERENTIATION_NTAR_ID,0))</f>
      </c>
      <c r="V2" s="278" t="s">
        <v>122</v>
      </c>
      <c r="W2" s="280"/>
      <c r="X2" s="2083"/>
      <c r="Y2" s="2084"/>
      <c r="Z2" s="2084"/>
      <c r="AA2" s="2084"/>
      <c r="AB2" s="2084"/>
      <c r="AC2" s="2084"/>
      <c r="AD2" s="2084"/>
      <c r="AE2" s="2084"/>
      <c r="AF2" s="2085"/>
      <c r="AG2" s="2083">
        <f>INDEX(PT_DIFFERENTIATION_NTAR,MATCH(A2,PT_DIFFERENTIATION_NTAR_ID,0))</f>
      </c>
      <c r="AH2" s="2084"/>
      <c r="AI2" s="2084"/>
      <c r="AJ2" s="2084"/>
      <c r="AK2" s="2084"/>
      <c r="AL2" s="2084"/>
      <c r="AM2" s="2084"/>
      <c r="AN2" s="2084"/>
      <c r="AO2" s="2084"/>
      <c r="AP2" s="2083"/>
      <c r="AQ2" s="2084"/>
      <c r="AR2" s="2084"/>
      <c r="AS2" s="2084"/>
      <c r="AT2" s="2084"/>
      <c r="AU2" s="2084"/>
      <c r="AV2" s="2084"/>
      <c r="AW2" s="2084"/>
      <c r="AX2" s="2085"/>
      <c r="AY2" s="2083"/>
      <c r="AZ2" s="2084"/>
      <c r="BA2" s="2084"/>
      <c r="BB2" s="2084"/>
      <c r="BC2" s="2084"/>
      <c r="BD2" s="2084"/>
      <c r="BE2" s="2084"/>
      <c r="BF2" s="2084"/>
      <c r="BG2" s="2085"/>
      <c r="BH2" s="2083"/>
      <c r="BI2" s="2084"/>
      <c r="BJ2" s="2084"/>
      <c r="BK2" s="2084"/>
      <c r="BL2" s="2084"/>
      <c r="BM2" s="2084"/>
      <c r="BN2" s="2084"/>
      <c r="BO2" s="2084"/>
      <c r="BP2" s="2085"/>
      <c r="BQ2" s="2083"/>
      <c r="BR2" s="2084"/>
      <c r="BS2" s="2084"/>
      <c r="BT2" s="2084"/>
      <c r="BU2" s="2084"/>
      <c r="BV2" s="2084"/>
      <c r="BW2" s="2084"/>
      <c r="BX2" s="2084"/>
      <c r="BY2" s="2085"/>
      <c r="BZ2" s="2083"/>
      <c r="CA2" s="2084"/>
      <c r="CB2" s="2084"/>
      <c r="CC2" s="2084"/>
      <c r="CD2" s="2084"/>
      <c r="CE2" s="2084"/>
      <c r="CF2" s="2084"/>
      <c r="CG2" s="2084"/>
      <c r="CH2" s="2085"/>
      <c r="CI2" s="2083"/>
      <c r="CJ2" s="2084"/>
      <c r="CK2" s="2084"/>
      <c r="CL2" s="2084"/>
      <c r="CM2" s="2084"/>
      <c r="CN2" s="2084"/>
      <c r="CO2" s="2084"/>
      <c r="CP2" s="2084"/>
      <c r="CQ2" s="2085"/>
      <c r="CR2" s="2083"/>
      <c r="CS2" s="2084"/>
      <c r="CT2" s="2084"/>
      <c r="CU2" s="2084"/>
      <c r="CV2" s="2084"/>
      <c r="CW2" s="2084"/>
      <c r="CX2" s="2084"/>
      <c r="CY2" s="2084"/>
      <c r="CZ2" s="2085"/>
      <c r="DA2" s="2085"/>
      <c r="DB2" s="1273" t="s">
        <v>403</v>
      </c>
      <c r="DD2" s="496"/>
      <c r="DE2" s="496" t="str">
        <f>IF(V2="","",V2)</f>
        <v>Наименование тарифа</v>
      </c>
      <c r="DF2" s="496"/>
      <c r="DG2" s="496"/>
    </row>
    <row customHeight="1" ht="21" hidden="1">
      <c r="A3" s="1283"/>
      <c r="B3" s="1283"/>
      <c r="C3" s="1283"/>
      <c r="D3" s="1283"/>
      <c r="E3" s="2150"/>
      <c r="F3" s="2149">
        <v>1</v>
      </c>
      <c r="G3" s="1283"/>
      <c r="H3" s="1283"/>
      <c r="I3" s="1283"/>
      <c r="J3" s="1283"/>
      <c r="K3" s="1283"/>
      <c r="L3" s="1283"/>
      <c r="M3" s="1327"/>
      <c r="N3" s="683"/>
      <c r="O3" s="683"/>
      <c r="P3" s="683"/>
      <c r="Q3" s="1349"/>
      <c r="R3" s="340"/>
      <c r="S3" s="505"/>
      <c r="T3" s="341"/>
      <c r="U3" s="1353">
        <f>INDEX(PT_DIFFERENTIATION_NUM_TER,MATCH(B3,PT_DIFFERENTIATION_TER_ID,0))</f>
      </c>
      <c r="V3" s="290" t="s">
        <v>404</v>
      </c>
      <c r="W3" s="280"/>
      <c r="X3" s="2083"/>
      <c r="Y3" s="2084"/>
      <c r="Z3" s="2084"/>
      <c r="AA3" s="2084"/>
      <c r="AB3" s="2084"/>
      <c r="AC3" s="2084"/>
      <c r="AD3" s="2084"/>
      <c r="AE3" s="2084"/>
      <c r="AF3" s="2085"/>
      <c r="AG3" s="2083">
        <f>INDEX(PT_DIFFERENTIATION_TER,MATCH(B3,PT_DIFFERENTIATION_TER_ID,0))</f>
      </c>
      <c r="AH3" s="2084"/>
      <c r="AI3" s="2084"/>
      <c r="AJ3" s="2084"/>
      <c r="AK3" s="2084"/>
      <c r="AL3" s="2084"/>
      <c r="AM3" s="2084"/>
      <c r="AN3" s="2084"/>
      <c r="AO3" s="2084"/>
      <c r="AP3" s="2083"/>
      <c r="AQ3" s="2084"/>
      <c r="AR3" s="2084"/>
      <c r="AS3" s="2084"/>
      <c r="AT3" s="2084"/>
      <c r="AU3" s="2084"/>
      <c r="AV3" s="2084"/>
      <c r="AW3" s="2084"/>
      <c r="AX3" s="2085"/>
      <c r="AY3" s="2083"/>
      <c r="AZ3" s="2084"/>
      <c r="BA3" s="2084"/>
      <c r="BB3" s="2084"/>
      <c r="BC3" s="2084"/>
      <c r="BD3" s="2084"/>
      <c r="BE3" s="2084"/>
      <c r="BF3" s="2084"/>
      <c r="BG3" s="2085"/>
      <c r="BH3" s="2083"/>
      <c r="BI3" s="2084"/>
      <c r="BJ3" s="2084"/>
      <c r="BK3" s="2084"/>
      <c r="BL3" s="2084"/>
      <c r="BM3" s="2084"/>
      <c r="BN3" s="2084"/>
      <c r="BO3" s="2084"/>
      <c r="BP3" s="2085"/>
      <c r="BQ3" s="2083"/>
      <c r="BR3" s="2084"/>
      <c r="BS3" s="2084"/>
      <c r="BT3" s="2084"/>
      <c r="BU3" s="2084"/>
      <c r="BV3" s="2084"/>
      <c r="BW3" s="2084"/>
      <c r="BX3" s="2084"/>
      <c r="BY3" s="2085"/>
      <c r="BZ3" s="2083"/>
      <c r="CA3" s="2084"/>
      <c r="CB3" s="2084"/>
      <c r="CC3" s="2084"/>
      <c r="CD3" s="2084"/>
      <c r="CE3" s="2084"/>
      <c r="CF3" s="2084"/>
      <c r="CG3" s="2084"/>
      <c r="CH3" s="2085"/>
      <c r="CI3" s="2083"/>
      <c r="CJ3" s="2084"/>
      <c r="CK3" s="2084"/>
      <c r="CL3" s="2084"/>
      <c r="CM3" s="2084"/>
      <c r="CN3" s="2084"/>
      <c r="CO3" s="2084"/>
      <c r="CP3" s="2084"/>
      <c r="CQ3" s="2085"/>
      <c r="CR3" s="2083"/>
      <c r="CS3" s="2084"/>
      <c r="CT3" s="2084"/>
      <c r="CU3" s="2084"/>
      <c r="CV3" s="2084"/>
      <c r="CW3" s="2084"/>
      <c r="CX3" s="2084"/>
      <c r="CY3" s="2084"/>
      <c r="CZ3" s="2085"/>
      <c r="DA3" s="2085"/>
      <c r="DB3" s="1273" t="s">
        <v>405</v>
      </c>
      <c r="DD3" s="496"/>
      <c r="DE3" s="496" t="str">
        <f>IF(V3="","",V3)</f>
        <v>Территория действия тарифа</v>
      </c>
      <c r="DF3" s="496"/>
      <c r="DG3" s="496"/>
    </row>
    <row customHeight="1" ht="22.5" hidden="1">
      <c r="A4" s="1283"/>
      <c r="B4" s="1283"/>
      <c r="C4" s="1283"/>
      <c r="D4" s="1283"/>
      <c r="E4" s="2150"/>
      <c r="F4" s="2150"/>
      <c r="G4" s="2149">
        <v>1</v>
      </c>
      <c r="H4" s="1283"/>
      <c r="I4" s="1283"/>
      <c r="J4" s="1283"/>
      <c r="K4" s="1283"/>
      <c r="L4" s="1283"/>
      <c r="M4" s="1327"/>
      <c r="N4" s="683"/>
      <c r="O4" s="683"/>
      <c r="P4" s="683"/>
      <c r="Q4" s="342"/>
      <c r="R4" s="340"/>
      <c r="S4" s="505"/>
      <c r="T4" s="341"/>
      <c r="U4" s="1353">
        <f>INDEX(PT_DIFFERENTIATION_NUM_CS,MATCH(C4,PT_DIFFERENTIATION_CS_ID,0))</f>
      </c>
      <c r="V4" s="291" t="s">
        <v>406</v>
      </c>
      <c r="W4" s="280"/>
      <c r="X4" s="2083"/>
      <c r="Y4" s="2084"/>
      <c r="Z4" s="2084"/>
      <c r="AA4" s="2084"/>
      <c r="AB4" s="2084"/>
      <c r="AC4" s="2084"/>
      <c r="AD4" s="2084"/>
      <c r="AE4" s="2084"/>
      <c r="AF4" s="2085"/>
      <c r="AG4" s="2083">
        <f>INDEX(PT_DIFFERENTIATION_CS,MATCH(C4,PT_DIFFERENTIATION_CS_ID,0))</f>
      </c>
      <c r="AH4" s="2084"/>
      <c r="AI4" s="2084"/>
      <c r="AJ4" s="2084"/>
      <c r="AK4" s="2084"/>
      <c r="AL4" s="2084"/>
      <c r="AM4" s="2084"/>
      <c r="AN4" s="2084"/>
      <c r="AO4" s="2084"/>
      <c r="AP4" s="2083"/>
      <c r="AQ4" s="2084"/>
      <c r="AR4" s="2084"/>
      <c r="AS4" s="2084"/>
      <c r="AT4" s="2084"/>
      <c r="AU4" s="2084"/>
      <c r="AV4" s="2084"/>
      <c r="AW4" s="2084"/>
      <c r="AX4" s="2085"/>
      <c r="AY4" s="2083"/>
      <c r="AZ4" s="2084"/>
      <c r="BA4" s="2084"/>
      <c r="BB4" s="2084"/>
      <c r="BC4" s="2084"/>
      <c r="BD4" s="2084"/>
      <c r="BE4" s="2084"/>
      <c r="BF4" s="2084"/>
      <c r="BG4" s="2085"/>
      <c r="BH4" s="2083"/>
      <c r="BI4" s="2084"/>
      <c r="BJ4" s="2084"/>
      <c r="BK4" s="2084"/>
      <c r="BL4" s="2084"/>
      <c r="BM4" s="2084"/>
      <c r="BN4" s="2084"/>
      <c r="BO4" s="2084"/>
      <c r="BP4" s="2085"/>
      <c r="BQ4" s="2083"/>
      <c r="BR4" s="2084"/>
      <c r="BS4" s="2084"/>
      <c r="BT4" s="2084"/>
      <c r="BU4" s="2084"/>
      <c r="BV4" s="2084"/>
      <c r="BW4" s="2084"/>
      <c r="BX4" s="2084"/>
      <c r="BY4" s="2085"/>
      <c r="BZ4" s="2083"/>
      <c r="CA4" s="2084"/>
      <c r="CB4" s="2084"/>
      <c r="CC4" s="2084"/>
      <c r="CD4" s="2084"/>
      <c r="CE4" s="2084"/>
      <c r="CF4" s="2084"/>
      <c r="CG4" s="2084"/>
      <c r="CH4" s="2085"/>
      <c r="CI4" s="2083"/>
      <c r="CJ4" s="2084"/>
      <c r="CK4" s="2084"/>
      <c r="CL4" s="2084"/>
      <c r="CM4" s="2084"/>
      <c r="CN4" s="2084"/>
      <c r="CO4" s="2084"/>
      <c r="CP4" s="2084"/>
      <c r="CQ4" s="2085"/>
      <c r="CR4" s="2083"/>
      <c r="CS4" s="2084"/>
      <c r="CT4" s="2084"/>
      <c r="CU4" s="2084"/>
      <c r="CV4" s="2084"/>
      <c r="CW4" s="2084"/>
      <c r="CX4" s="2084"/>
      <c r="CY4" s="2084"/>
      <c r="CZ4" s="2085"/>
      <c r="DA4" s="2085"/>
      <c r="DB4" s="1273" t="s">
        <v>407</v>
      </c>
      <c r="DD4" s="496"/>
      <c r="DE4" s="496" t="str">
        <f>IF(V4="","",V4)</f>
        <v>Наименование системы теплоснабжения </v>
      </c>
      <c r="DF4" s="496"/>
      <c r="DG4" s="496"/>
    </row>
    <row customHeight="1" ht="21" hidden="1">
      <c r="A5" s="1283"/>
      <c r="B5" s="1283"/>
      <c r="C5" s="1283"/>
      <c r="D5" s="1283"/>
      <c r="E5" s="2150"/>
      <c r="F5" s="2150"/>
      <c r="G5" s="2150"/>
      <c r="H5" s="2149">
        <v>1</v>
      </c>
      <c r="I5" s="1283"/>
      <c r="J5" s="1283"/>
      <c r="K5" s="1283"/>
      <c r="L5" s="1283"/>
      <c r="M5" s="1327"/>
      <c r="N5" s="683"/>
      <c r="O5" s="683"/>
      <c r="P5" s="683"/>
      <c r="Q5" s="342"/>
      <c r="R5" s="340"/>
      <c r="S5" s="505"/>
      <c r="T5" s="341"/>
      <c r="U5" s="1353">
        <f>INDEX(PT_DIFFERENTIATION_NUM_IST_TE,MATCH(D5,PT_DIFFERENTIATION_IST_TE_ID,0))</f>
      </c>
      <c r="V5" s="292" t="s">
        <v>408</v>
      </c>
      <c r="W5" s="280"/>
      <c r="X5" s="2083"/>
      <c r="Y5" s="2084"/>
      <c r="Z5" s="2084"/>
      <c r="AA5" s="2084"/>
      <c r="AB5" s="2084"/>
      <c r="AC5" s="2084"/>
      <c r="AD5" s="2084"/>
      <c r="AE5" s="2084"/>
      <c r="AF5" s="2085"/>
      <c r="AG5" s="2083">
        <f>INDEX(PT_DIFFERENTIATION_IST_TE,MATCH(D5,PT_DIFFERENTIATION_IST_TE_ID,0))</f>
      </c>
      <c r="AH5" s="2084"/>
      <c r="AI5" s="2084"/>
      <c r="AJ5" s="2084"/>
      <c r="AK5" s="2084"/>
      <c r="AL5" s="2084"/>
      <c r="AM5" s="2084"/>
      <c r="AN5" s="2084"/>
      <c r="AO5" s="2084"/>
      <c r="AP5" s="2083"/>
      <c r="AQ5" s="2084"/>
      <c r="AR5" s="2084"/>
      <c r="AS5" s="2084"/>
      <c r="AT5" s="2084"/>
      <c r="AU5" s="2084"/>
      <c r="AV5" s="2084"/>
      <c r="AW5" s="2084"/>
      <c r="AX5" s="2085"/>
      <c r="AY5" s="2083"/>
      <c r="AZ5" s="2084"/>
      <c r="BA5" s="2084"/>
      <c r="BB5" s="2084"/>
      <c r="BC5" s="2084"/>
      <c r="BD5" s="2084"/>
      <c r="BE5" s="2084"/>
      <c r="BF5" s="2084"/>
      <c r="BG5" s="2085"/>
      <c r="BH5" s="2083"/>
      <c r="BI5" s="2084"/>
      <c r="BJ5" s="2084"/>
      <c r="BK5" s="2084"/>
      <c r="BL5" s="2084"/>
      <c r="BM5" s="2084"/>
      <c r="BN5" s="2084"/>
      <c r="BO5" s="2084"/>
      <c r="BP5" s="2085"/>
      <c r="BQ5" s="2083"/>
      <c r="BR5" s="2084"/>
      <c r="BS5" s="2084"/>
      <c r="BT5" s="2084"/>
      <c r="BU5" s="2084"/>
      <c r="BV5" s="2084"/>
      <c r="BW5" s="2084"/>
      <c r="BX5" s="2084"/>
      <c r="BY5" s="2085"/>
      <c r="BZ5" s="2083"/>
      <c r="CA5" s="2084"/>
      <c r="CB5" s="2084"/>
      <c r="CC5" s="2084"/>
      <c r="CD5" s="2084"/>
      <c r="CE5" s="2084"/>
      <c r="CF5" s="2084"/>
      <c r="CG5" s="2084"/>
      <c r="CH5" s="2085"/>
      <c r="CI5" s="2083"/>
      <c r="CJ5" s="2084"/>
      <c r="CK5" s="2084"/>
      <c r="CL5" s="2084"/>
      <c r="CM5" s="2084"/>
      <c r="CN5" s="2084"/>
      <c r="CO5" s="2084"/>
      <c r="CP5" s="2084"/>
      <c r="CQ5" s="2085"/>
      <c r="CR5" s="2083"/>
      <c r="CS5" s="2084"/>
      <c r="CT5" s="2084"/>
      <c r="CU5" s="2084"/>
      <c r="CV5" s="2084"/>
      <c r="CW5" s="2084"/>
      <c r="CX5" s="2084"/>
      <c r="CY5" s="2084"/>
      <c r="CZ5" s="2085"/>
      <c r="DA5" s="2085"/>
      <c r="DB5" s="1273" t="s">
        <v>409</v>
      </c>
      <c r="DD5" s="496"/>
      <c r="DE5" s="496" t="str">
        <f>IF(V5="","",V5)</f>
        <v>Источник тепловой энергии  </v>
      </c>
      <c r="DF5" s="496"/>
      <c r="DG5" s="496"/>
    </row>
    <row customHeight="1" ht="14.25" hidden="1">
      <c r="A6" s="1283"/>
      <c r="B6" s="1283"/>
      <c r="C6" s="1283"/>
      <c r="D6" s="1283"/>
      <c r="E6" s="2150"/>
      <c r="F6" s="2150"/>
      <c r="G6" s="2150"/>
      <c r="H6" s="2150"/>
      <c r="I6" s="1953">
        <f>U5&amp;".1"</f>
      </c>
      <c r="J6" s="1283"/>
      <c r="K6" s="1283"/>
      <c r="L6" s="1283"/>
      <c r="M6" s="1327" t="s">
        <v>410</v>
      </c>
      <c r="N6" s="505"/>
      <c r="Q6" s="2093">
        <v>1</v>
      </c>
      <c r="R6" s="1348"/>
      <c r="S6" s="1348"/>
      <c r="T6" s="344"/>
      <c r="U6" s="1037"/>
      <c r="V6" s="1400"/>
      <c r="W6" s="1401"/>
      <c r="X6" s="2129"/>
      <c r="Y6" s="2130"/>
      <c r="Z6" s="2130"/>
      <c r="AA6" s="2130"/>
      <c r="AB6" s="2130"/>
      <c r="AC6" s="2130"/>
      <c r="AD6" s="2130"/>
      <c r="AE6" s="2130"/>
      <c r="AF6" s="2131"/>
      <c r="AG6" s="2129"/>
      <c r="AH6" s="2130"/>
      <c r="AI6" s="2130"/>
      <c r="AJ6" s="2130"/>
      <c r="AK6" s="2130"/>
      <c r="AL6" s="2130"/>
      <c r="AM6" s="2130"/>
      <c r="AN6" s="2130"/>
      <c r="AO6" s="2130"/>
      <c r="AP6" s="2129"/>
      <c r="AQ6" s="2130"/>
      <c r="AR6" s="2130"/>
      <c r="AS6" s="2130"/>
      <c r="AT6" s="2130"/>
      <c r="AU6" s="2130"/>
      <c r="AV6" s="2130"/>
      <c r="AW6" s="2130"/>
      <c r="AX6" s="2131"/>
      <c r="AY6" s="2129"/>
      <c r="AZ6" s="2130"/>
      <c r="BA6" s="2130"/>
      <c r="BB6" s="2130"/>
      <c r="BC6" s="2130"/>
      <c r="BD6" s="2130"/>
      <c r="BE6" s="2130"/>
      <c r="BF6" s="2130"/>
      <c r="BG6" s="2131"/>
      <c r="BH6" s="2129"/>
      <c r="BI6" s="2130"/>
      <c r="BJ6" s="2130"/>
      <c r="BK6" s="2130"/>
      <c r="BL6" s="2130"/>
      <c r="BM6" s="2130"/>
      <c r="BN6" s="2130"/>
      <c r="BO6" s="2130"/>
      <c r="BP6" s="2131"/>
      <c r="BQ6" s="2129"/>
      <c r="BR6" s="2130"/>
      <c r="BS6" s="2130"/>
      <c r="BT6" s="2130"/>
      <c r="BU6" s="2130"/>
      <c r="BV6" s="2130"/>
      <c r="BW6" s="2130"/>
      <c r="BX6" s="2130"/>
      <c r="BY6" s="2131"/>
      <c r="BZ6" s="2129"/>
      <c r="CA6" s="2130"/>
      <c r="CB6" s="2130"/>
      <c r="CC6" s="2130"/>
      <c r="CD6" s="2130"/>
      <c r="CE6" s="2130"/>
      <c r="CF6" s="2130"/>
      <c r="CG6" s="2130"/>
      <c r="CH6" s="2131"/>
      <c r="CI6" s="2129"/>
      <c r="CJ6" s="2130"/>
      <c r="CK6" s="2130"/>
      <c r="CL6" s="2130"/>
      <c r="CM6" s="2130"/>
      <c r="CN6" s="2130"/>
      <c r="CO6" s="2130"/>
      <c r="CP6" s="2130"/>
      <c r="CQ6" s="2131"/>
      <c r="CR6" s="2129"/>
      <c r="CS6" s="2130"/>
      <c r="CT6" s="2130"/>
      <c r="CU6" s="2130"/>
      <c r="CV6" s="2130"/>
      <c r="CW6" s="2130"/>
      <c r="CX6" s="2130"/>
      <c r="CY6" s="2130"/>
      <c r="CZ6" s="2131"/>
      <c r="DA6" s="2131"/>
      <c r="DB6" s="1402"/>
      <c r="DD6" s="496"/>
      <c r="DE6" s="496" t="str">
        <f>IF(V6="","",V6)</f>
        <v/>
      </c>
      <c r="DF6" s="496"/>
      <c r="DG6" s="496"/>
    </row>
    <row customHeight="1" ht="21" hidden="1">
      <c r="A7" s="1283"/>
      <c r="B7" s="1283"/>
      <c r="C7" s="1283"/>
      <c r="D7" s="1283"/>
      <c r="E7" s="2150"/>
      <c r="F7" s="2150"/>
      <c r="G7" s="2150"/>
      <c r="H7" s="2150"/>
      <c r="I7" s="1937"/>
      <c r="J7" s="1953">
        <f>I6&amp;".1"</f>
      </c>
      <c r="K7" s="1283"/>
      <c r="L7" s="1283"/>
      <c r="M7" s="1327" t="s">
        <v>413</v>
      </c>
      <c r="N7" s="505"/>
      <c r="O7" s="315"/>
      <c r="Q7" s="2093"/>
      <c r="R7" s="2093">
        <v>1</v>
      </c>
      <c r="S7" s="514"/>
      <c r="T7" s="345"/>
      <c r="U7" s="1353">
        <f>$J7</f>
      </c>
      <c r="V7" s="267" t="s">
        <v>414</v>
      </c>
      <c r="W7" s="280"/>
      <c r="X7" s="2077"/>
      <c r="Y7" s="2078"/>
      <c r="Z7" s="2078"/>
      <c r="AA7" s="2078"/>
      <c r="AB7" s="2078"/>
      <c r="AC7" s="2070"/>
      <c r="AD7" s="2070"/>
      <c r="AE7" s="2070"/>
      <c r="AF7" s="2153"/>
      <c r="AG7" s="2077"/>
      <c r="AH7" s="2078"/>
      <c r="AI7" s="2078"/>
      <c r="AJ7" s="2078"/>
      <c r="AK7" s="2078"/>
      <c r="AL7" s="2078"/>
      <c r="AM7" s="2078"/>
      <c r="AN7" s="2078"/>
      <c r="AO7" s="2078"/>
      <c r="AP7" s="2077"/>
      <c r="AQ7" s="2078"/>
      <c r="AR7" s="2078"/>
      <c r="AS7" s="2078"/>
      <c r="AT7" s="2078"/>
      <c r="AU7" s="2070"/>
      <c r="AV7" s="2070"/>
      <c r="AW7" s="2070"/>
      <c r="AX7" s="2153"/>
      <c r="AY7" s="2077"/>
      <c r="AZ7" s="2078"/>
      <c r="BA7" s="2078"/>
      <c r="BB7" s="2078"/>
      <c r="BC7" s="2078"/>
      <c r="BD7" s="2070"/>
      <c r="BE7" s="2070"/>
      <c r="BF7" s="2070"/>
      <c r="BG7" s="2153"/>
      <c r="BH7" s="2077"/>
      <c r="BI7" s="2078"/>
      <c r="BJ7" s="2078"/>
      <c r="BK7" s="2078"/>
      <c r="BL7" s="2078"/>
      <c r="BM7" s="2070"/>
      <c r="BN7" s="2070"/>
      <c r="BO7" s="2070"/>
      <c r="BP7" s="2153"/>
      <c r="BQ7" s="2077"/>
      <c r="BR7" s="2078"/>
      <c r="BS7" s="2078"/>
      <c r="BT7" s="2078"/>
      <c r="BU7" s="2078"/>
      <c r="BV7" s="2070"/>
      <c r="BW7" s="2070"/>
      <c r="BX7" s="2070"/>
      <c r="BY7" s="2153"/>
      <c r="BZ7" s="2077"/>
      <c r="CA7" s="2078"/>
      <c r="CB7" s="2078"/>
      <c r="CC7" s="2078"/>
      <c r="CD7" s="2078"/>
      <c r="CE7" s="2070"/>
      <c r="CF7" s="2070"/>
      <c r="CG7" s="2070"/>
      <c r="CH7" s="2153"/>
      <c r="CI7" s="2077"/>
      <c r="CJ7" s="2078"/>
      <c r="CK7" s="2078"/>
      <c r="CL7" s="2078"/>
      <c r="CM7" s="2078"/>
      <c r="CN7" s="2070"/>
      <c r="CO7" s="2070"/>
      <c r="CP7" s="2070"/>
      <c r="CQ7" s="2153"/>
      <c r="CR7" s="2077"/>
      <c r="CS7" s="2078"/>
      <c r="CT7" s="2078"/>
      <c r="CU7" s="2078"/>
      <c r="CV7" s="2078"/>
      <c r="CW7" s="2070"/>
      <c r="CX7" s="2070"/>
      <c r="CY7" s="2070"/>
      <c r="CZ7" s="2153"/>
      <c r="DA7" s="2079"/>
      <c r="DB7" s="1273" t="s">
        <v>415</v>
      </c>
      <c r="DD7" s="496"/>
      <c r="DE7" s="496" t="str">
        <f>IF(V7="","",V7)</f>
        <v>Группа потребителей</v>
      </c>
      <c r="DF7" s="496"/>
      <c r="DG7" s="496"/>
    </row>
    <row customHeight="1" ht="21" hidden="1">
      <c r="A8" s="1283"/>
      <c r="B8" s="1283"/>
      <c r="C8" s="1283"/>
      <c r="D8" s="1283"/>
      <c r="E8" s="2150"/>
      <c r="F8" s="2150"/>
      <c r="G8" s="2150"/>
      <c r="H8" s="2150"/>
      <c r="I8" s="1937"/>
      <c r="J8" s="1937"/>
      <c r="K8" s="1953">
        <f>J7&amp;".1"</f>
      </c>
      <c r="L8" s="119"/>
      <c r="M8" s="1327" t="s">
        <v>416</v>
      </c>
      <c r="N8" s="505"/>
      <c r="O8" s="315"/>
      <c r="P8" s="315"/>
      <c r="Q8" s="2093"/>
      <c r="R8" s="2093"/>
      <c r="S8" s="2093">
        <v>1</v>
      </c>
      <c r="T8" s="345"/>
      <c r="U8" s="1353">
        <f>$K8</f>
      </c>
      <c r="V8" s="1364"/>
      <c r="W8" s="280"/>
      <c r="X8" s="746"/>
      <c r="Y8" s="746"/>
      <c r="Z8" s="746"/>
      <c r="AA8" s="746"/>
      <c r="AB8" s="1422"/>
      <c r="AC8" s="2094"/>
      <c r="AD8" s="1963" t="s">
        <v>66</v>
      </c>
      <c r="AE8" s="2094"/>
      <c r="AF8" s="1963" t="s">
        <v>66</v>
      </c>
      <c r="AG8" s="1424"/>
      <c r="AH8" s="746"/>
      <c r="AI8" s="746"/>
      <c r="AJ8" s="746"/>
      <c r="AK8" s="1272"/>
      <c r="AL8" s="2094"/>
      <c r="AM8" s="1963" t="s">
        <v>66</v>
      </c>
      <c r="AN8" s="2094"/>
      <c r="AO8" s="1963" t="s">
        <v>66</v>
      </c>
      <c r="AP8" s="746"/>
      <c r="AQ8" s="746"/>
      <c r="AR8" s="746"/>
      <c r="AS8" s="746"/>
      <c r="AT8" s="1422"/>
      <c r="AU8" s="2425"/>
      <c r="AV8" s="1963" t="s">
        <v>66</v>
      </c>
      <c r="AW8" s="2425"/>
      <c r="AX8" s="1963" t="s">
        <v>66</v>
      </c>
      <c r="AY8" s="746"/>
      <c r="AZ8" s="746"/>
      <c r="BA8" s="746"/>
      <c r="BB8" s="746"/>
      <c r="BC8" s="1422"/>
      <c r="BD8" s="2425"/>
      <c r="BE8" s="1963" t="s">
        <v>66</v>
      </c>
      <c r="BF8" s="2425"/>
      <c r="BG8" s="1963" t="s">
        <v>66</v>
      </c>
      <c r="BH8" s="746"/>
      <c r="BI8" s="746"/>
      <c r="BJ8" s="746"/>
      <c r="BK8" s="746"/>
      <c r="BL8" s="1422"/>
      <c r="BM8" s="2425"/>
      <c r="BN8" s="1963" t="s">
        <v>66</v>
      </c>
      <c r="BO8" s="2425"/>
      <c r="BP8" s="1963" t="s">
        <v>66</v>
      </c>
      <c r="BQ8" s="746"/>
      <c r="BR8" s="746"/>
      <c r="BS8" s="746"/>
      <c r="BT8" s="746"/>
      <c r="BU8" s="1422"/>
      <c r="BV8" s="2425"/>
      <c r="BW8" s="1963" t="s">
        <v>66</v>
      </c>
      <c r="BX8" s="2425"/>
      <c r="BY8" s="1963" t="s">
        <v>66</v>
      </c>
      <c r="BZ8" s="746"/>
      <c r="CA8" s="746"/>
      <c r="CB8" s="746"/>
      <c r="CC8" s="746"/>
      <c r="CD8" s="1422"/>
      <c r="CE8" s="2425"/>
      <c r="CF8" s="1963" t="s">
        <v>66</v>
      </c>
      <c r="CG8" s="2425"/>
      <c r="CH8" s="1963" t="s">
        <v>66</v>
      </c>
      <c r="CI8" s="746"/>
      <c r="CJ8" s="746"/>
      <c r="CK8" s="746"/>
      <c r="CL8" s="746"/>
      <c r="CM8" s="1422"/>
      <c r="CN8" s="2425"/>
      <c r="CO8" s="1963" t="s">
        <v>66</v>
      </c>
      <c r="CP8" s="2425"/>
      <c r="CQ8" s="1963" t="s">
        <v>66</v>
      </c>
      <c r="CR8" s="746"/>
      <c r="CS8" s="746"/>
      <c r="CT8" s="746"/>
      <c r="CU8" s="746"/>
      <c r="CV8" s="1422"/>
      <c r="CW8" s="2425"/>
      <c r="CX8" s="1963" t="s">
        <v>66</v>
      </c>
      <c r="CY8" s="2425"/>
      <c r="CZ8" s="1963" t="s">
        <v>66</v>
      </c>
      <c r="DA8" s="312"/>
      <c r="DB8" s="1324" t="s">
        <v>458</v>
      </c>
      <c r="DC8" s="507">
        <f>STRCHECKDATE(X10:DA10)</f>
      </c>
      <c r="DD8" s="496"/>
      <c r="DE8" s="496" t="str">
        <f>IF(V8="","",V8)</f>
        <v/>
      </c>
      <c r="DF8" s="496"/>
      <c r="DG8" s="496"/>
    </row>
    <row customHeight="1" ht="21" hidden="1">
      <c r="A9" s="1283"/>
      <c r="B9" s="1283"/>
      <c r="C9" s="1283"/>
      <c r="D9" s="1283"/>
      <c r="E9" s="2150"/>
      <c r="F9" s="2150"/>
      <c r="G9" s="2150"/>
      <c r="H9" s="2150"/>
      <c r="I9" s="1937"/>
      <c r="J9" s="1937"/>
      <c r="K9" s="1937"/>
      <c r="L9" s="1953">
        <f>K8&amp;".1"</f>
      </c>
      <c r="M9" s="1327"/>
      <c r="N9" s="505"/>
      <c r="O9" s="315"/>
      <c r="P9" s="315"/>
      <c r="Q9" s="2093"/>
      <c r="R9" s="2093"/>
      <c r="S9" s="2093"/>
      <c r="T9" s="345"/>
      <c r="U9" s="1353">
        <f>$L9</f>
      </c>
      <c r="V9" s="1408"/>
      <c r="W9" s="280"/>
      <c r="X9" s="312"/>
      <c r="Y9" s="746"/>
      <c r="Z9" s="746"/>
      <c r="AA9" s="746"/>
      <c r="AB9" s="1422"/>
      <c r="AC9" s="2134"/>
      <c r="AD9" s="1963"/>
      <c r="AE9" s="2134"/>
      <c r="AF9" s="1963"/>
      <c r="AG9" s="1424"/>
      <c r="AH9" s="746"/>
      <c r="AI9" s="746"/>
      <c r="AJ9" s="746"/>
      <c r="AK9" s="1272"/>
      <c r="AL9" s="2134"/>
      <c r="AM9" s="1963"/>
      <c r="AN9" s="2134"/>
      <c r="AO9" s="1963"/>
      <c r="AP9" s="312"/>
      <c r="AQ9" s="746"/>
      <c r="AR9" s="746"/>
      <c r="AS9" s="746"/>
      <c r="AT9" s="1422"/>
      <c r="AU9" s="2134"/>
      <c r="AV9" s="1963"/>
      <c r="AW9" s="2134"/>
      <c r="AX9" s="1963"/>
      <c r="AY9" s="312"/>
      <c r="AZ9" s="746"/>
      <c r="BA9" s="746"/>
      <c r="BB9" s="746"/>
      <c r="BC9" s="1422"/>
      <c r="BD9" s="2134"/>
      <c r="BE9" s="1963"/>
      <c r="BF9" s="2134"/>
      <c r="BG9" s="1963"/>
      <c r="BH9" s="312"/>
      <c r="BI9" s="746"/>
      <c r="BJ9" s="746"/>
      <c r="BK9" s="746"/>
      <c r="BL9" s="1422"/>
      <c r="BM9" s="2134"/>
      <c r="BN9" s="1963"/>
      <c r="BO9" s="2134"/>
      <c r="BP9" s="1963"/>
      <c r="BQ9" s="312"/>
      <c r="BR9" s="746"/>
      <c r="BS9" s="746"/>
      <c r="BT9" s="746"/>
      <c r="BU9" s="1422"/>
      <c r="BV9" s="2134"/>
      <c r="BW9" s="1963"/>
      <c r="BX9" s="2134"/>
      <c r="BY9" s="1963"/>
      <c r="BZ9" s="312"/>
      <c r="CA9" s="746"/>
      <c r="CB9" s="746"/>
      <c r="CC9" s="746"/>
      <c r="CD9" s="1422"/>
      <c r="CE9" s="2134"/>
      <c r="CF9" s="1963"/>
      <c r="CG9" s="2134"/>
      <c r="CH9" s="1963"/>
      <c r="CI9" s="312"/>
      <c r="CJ9" s="746"/>
      <c r="CK9" s="746"/>
      <c r="CL9" s="746"/>
      <c r="CM9" s="1422"/>
      <c r="CN9" s="2134"/>
      <c r="CO9" s="1963"/>
      <c r="CP9" s="2134"/>
      <c r="CQ9" s="1963"/>
      <c r="CR9" s="312"/>
      <c r="CS9" s="746"/>
      <c r="CT9" s="746"/>
      <c r="CU9" s="746"/>
      <c r="CV9" s="1422"/>
      <c r="CW9" s="2134"/>
      <c r="CX9" s="1963"/>
      <c r="CY9" s="2134"/>
      <c r="CZ9" s="1963"/>
      <c r="DA9" s="312"/>
      <c r="DB9" s="2119" t="s">
        <v>459</v>
      </c>
      <c r="DD9" s="496"/>
      <c r="DE9" s="496"/>
      <c r="DF9" s="496"/>
      <c r="DG9" s="496"/>
    </row>
    <row customHeight="1" ht="14.25" hidden="1">
      <c r="A10" s="1283"/>
      <c r="B10" s="1283"/>
      <c r="C10" s="1283"/>
      <c r="D10" s="1283"/>
      <c r="E10" s="2150"/>
      <c r="F10" s="2150"/>
      <c r="G10" s="2150"/>
      <c r="H10" s="2150"/>
      <c r="I10" s="1937"/>
      <c r="J10" s="1937"/>
      <c r="K10" s="1937"/>
      <c r="L10" s="1953"/>
      <c r="M10" s="1327"/>
      <c r="N10" s="505"/>
      <c r="O10" s="315"/>
      <c r="P10" s="315"/>
      <c r="Q10" s="2093"/>
      <c r="R10" s="2093"/>
      <c r="S10" s="2093"/>
      <c r="T10" s="345"/>
      <c r="U10" s="1359"/>
      <c r="V10" s="280"/>
      <c r="W10" s="280"/>
      <c r="X10" s="312"/>
      <c r="Y10" s="312"/>
      <c r="Z10" s="312"/>
      <c r="AA10" s="312"/>
      <c r="AB10" s="1423" t="str">
        <f>AC8&amp;"-"&amp;AE8</f>
        <v>-</v>
      </c>
      <c r="AC10" s="2134"/>
      <c r="AD10" s="1963"/>
      <c r="AE10" s="2134"/>
      <c r="AF10" s="1963"/>
      <c r="AG10" s="1399"/>
      <c r="AH10" s="312"/>
      <c r="AI10" s="312"/>
      <c r="AJ10" s="312"/>
      <c r="AK10" s="316" t="str">
        <f>AL8&amp;"-"&amp;AN8</f>
        <v>-</v>
      </c>
      <c r="AL10" s="2134"/>
      <c r="AM10" s="1963"/>
      <c r="AN10" s="2134"/>
      <c r="AO10" s="1963"/>
      <c r="AP10" s="312"/>
      <c r="AQ10" s="312"/>
      <c r="AR10" s="312"/>
      <c r="AS10" s="312"/>
      <c r="AT10" s="1423" t="str">
        <f>AU8&amp;"-"&amp;AW8</f>
        <v>-</v>
      </c>
      <c r="AU10" s="2134"/>
      <c r="AV10" s="1963"/>
      <c r="AW10" s="2134"/>
      <c r="AX10" s="1963"/>
      <c r="AY10" s="312"/>
      <c r="AZ10" s="312"/>
      <c r="BA10" s="312"/>
      <c r="BB10" s="312"/>
      <c r="BC10" s="1423" t="str">
        <f>BD8&amp;"-"&amp;BF8</f>
        <v>-</v>
      </c>
      <c r="BD10" s="2134"/>
      <c r="BE10" s="1963"/>
      <c r="BF10" s="2134"/>
      <c r="BG10" s="1963"/>
      <c r="BH10" s="312"/>
      <c r="BI10" s="312"/>
      <c r="BJ10" s="312"/>
      <c r="BK10" s="312"/>
      <c r="BL10" s="1423" t="str">
        <f>BM8&amp;"-"&amp;BO8</f>
        <v>-</v>
      </c>
      <c r="BM10" s="2134"/>
      <c r="BN10" s="1963"/>
      <c r="BO10" s="2134"/>
      <c r="BP10" s="1963"/>
      <c r="BQ10" s="312"/>
      <c r="BR10" s="312"/>
      <c r="BS10" s="312"/>
      <c r="BT10" s="312"/>
      <c r="BU10" s="1423" t="str">
        <f>BV8&amp;"-"&amp;BX8</f>
        <v>-</v>
      </c>
      <c r="BV10" s="2134"/>
      <c r="BW10" s="1963"/>
      <c r="BX10" s="2134"/>
      <c r="BY10" s="1963"/>
      <c r="BZ10" s="312"/>
      <c r="CA10" s="312"/>
      <c r="CB10" s="312"/>
      <c r="CC10" s="312"/>
      <c r="CD10" s="1423" t="str">
        <f>CE8&amp;"-"&amp;CG8</f>
        <v>-</v>
      </c>
      <c r="CE10" s="2134"/>
      <c r="CF10" s="1963"/>
      <c r="CG10" s="2134"/>
      <c r="CH10" s="1963"/>
      <c r="CI10" s="312"/>
      <c r="CJ10" s="312"/>
      <c r="CK10" s="312"/>
      <c r="CL10" s="312"/>
      <c r="CM10" s="1423" t="str">
        <f>CN8&amp;"-"&amp;CP8</f>
        <v>-</v>
      </c>
      <c r="CN10" s="2134"/>
      <c r="CO10" s="1963"/>
      <c r="CP10" s="2134"/>
      <c r="CQ10" s="1963"/>
      <c r="CR10" s="312"/>
      <c r="CS10" s="312"/>
      <c r="CT10" s="312"/>
      <c r="CU10" s="312"/>
      <c r="CV10" s="1423" t="str">
        <f>CW8&amp;"-"&amp;CY8</f>
        <v>-</v>
      </c>
      <c r="CW10" s="2134"/>
      <c r="CX10" s="1963"/>
      <c r="CY10" s="2134"/>
      <c r="CZ10" s="1963"/>
      <c r="DA10" s="312"/>
      <c r="DB10" s="2120"/>
      <c r="DD10" s="496"/>
      <c r="DE10" s="496" t="str">
        <f>IF(V10="","",V10)</f>
        <v/>
      </c>
      <c r="DF10" s="496"/>
      <c r="DG10" s="496"/>
    </row>
    <row customHeight="1" ht="11.25" hidden="1">
      <c r="A11" s="1283"/>
      <c r="B11" s="1283"/>
      <c r="C11" s="1283"/>
      <c r="D11" s="1283"/>
      <c r="E11" s="2150"/>
      <c r="F11" s="2150"/>
      <c r="G11" s="2150"/>
      <c r="H11" s="2150"/>
      <c r="I11" s="1937"/>
      <c r="J11" s="1937"/>
      <c r="K11" s="1953"/>
      <c r="L11" s="1283"/>
      <c r="M11" s="1327"/>
      <c r="N11" s="505"/>
      <c r="O11" s="315"/>
      <c r="P11" s="315"/>
      <c r="Q11" s="2093"/>
      <c r="R11" s="2093"/>
      <c r="S11" s="2093"/>
      <c r="T11" s="345"/>
      <c r="U11" s="1295"/>
      <c r="V11" s="269" t="s">
        <v>460</v>
      </c>
      <c r="W11" s="1409"/>
      <c r="X11" s="1410"/>
      <c r="Y11" s="1410"/>
      <c r="Z11" s="1410"/>
      <c r="AA11" s="1410"/>
      <c r="AB11" s="1411"/>
      <c r="AC11" s="2134"/>
      <c r="AD11" s="1963"/>
      <c r="AE11" s="2134"/>
      <c r="AF11" s="1963"/>
      <c r="AG11" s="1410"/>
      <c r="AH11" s="1410"/>
      <c r="AI11" s="1410"/>
      <c r="AJ11" s="1410"/>
      <c r="AK11" s="1411"/>
      <c r="AL11" s="2134"/>
      <c r="AM11" s="1963"/>
      <c r="AN11" s="2134"/>
      <c r="AO11" s="1963"/>
      <c r="AP11" s="3600"/>
      <c r="AQ11" s="3601"/>
      <c r="AR11" s="3602"/>
      <c r="AS11" s="3603"/>
      <c r="AT11" s="3604"/>
      <c r="AU11" s="2134"/>
      <c r="AV11" s="1963"/>
      <c r="AW11" s="2134"/>
      <c r="AX11" s="1963"/>
      <c r="AY11" s="3605"/>
      <c r="AZ11" s="3606"/>
      <c r="BA11" s="3607"/>
      <c r="BB11" s="3608"/>
      <c r="BC11" s="3609"/>
      <c r="BD11" s="2134"/>
      <c r="BE11" s="1963"/>
      <c r="BF11" s="2134"/>
      <c r="BG11" s="1963"/>
      <c r="BH11" s="3610"/>
      <c r="BI11" s="3611"/>
      <c r="BJ11" s="3612"/>
      <c r="BK11" s="3613"/>
      <c r="BL11" s="3614"/>
      <c r="BM11" s="2134"/>
      <c r="BN11" s="1963"/>
      <c r="BO11" s="2134"/>
      <c r="BP11" s="1963"/>
      <c r="BQ11" s="3615"/>
      <c r="BR11" s="3616"/>
      <c r="BS11" s="3617"/>
      <c r="BT11" s="3618"/>
      <c r="BU11" s="3619"/>
      <c r="BV11" s="2134"/>
      <c r="BW11" s="1963"/>
      <c r="BX11" s="2134"/>
      <c r="BY11" s="1963"/>
      <c r="BZ11" s="3620"/>
      <c r="CA11" s="3621"/>
      <c r="CB11" s="3622"/>
      <c r="CC11" s="3623"/>
      <c r="CD11" s="3624"/>
      <c r="CE11" s="2134"/>
      <c r="CF11" s="1963"/>
      <c r="CG11" s="2134"/>
      <c r="CH11" s="1963"/>
      <c r="CI11" s="3625"/>
      <c r="CJ11" s="3626"/>
      <c r="CK11" s="3627"/>
      <c r="CL11" s="3628"/>
      <c r="CM11" s="3629"/>
      <c r="CN11" s="2134"/>
      <c r="CO11" s="1963"/>
      <c r="CP11" s="2134"/>
      <c r="CQ11" s="1963"/>
      <c r="CR11" s="3630"/>
      <c r="CS11" s="3631"/>
      <c r="CT11" s="3632"/>
      <c r="CU11" s="3633"/>
      <c r="CV11" s="3634"/>
      <c r="CW11" s="2134"/>
      <c r="CX11" s="1963"/>
      <c r="CY11" s="2134"/>
      <c r="CZ11" s="1963"/>
      <c r="DA11" s="1412"/>
      <c r="DB11" s="2120"/>
      <c r="DD11" s="496"/>
      <c r="DE11" s="496"/>
      <c r="DF11" s="496"/>
      <c r="DG11" s="496"/>
    </row>
    <row customHeight="1" ht="15" hidden="1">
      <c r="A12" s="1283"/>
      <c r="B12" s="1283"/>
      <c r="C12" s="1283"/>
      <c r="D12" s="1283"/>
      <c r="E12" s="2150"/>
      <c r="F12" s="2150"/>
      <c r="G12" s="2150"/>
      <c r="H12" s="2150"/>
      <c r="I12" s="1937"/>
      <c r="J12" s="1953"/>
      <c r="K12" s="1283"/>
      <c r="L12" s="1283"/>
      <c r="M12" s="1327"/>
      <c r="N12" s="505"/>
      <c r="O12" s="315"/>
      <c r="Q12" s="2093"/>
      <c r="R12" s="2093"/>
      <c r="S12" s="1348"/>
      <c r="T12" s="344"/>
      <c r="U12" s="1295"/>
      <c r="V12" s="268" t="s">
        <v>418</v>
      </c>
      <c r="W12" s="359"/>
      <c r="X12" s="359"/>
      <c r="Y12" s="359"/>
      <c r="Z12" s="359"/>
      <c r="AA12" s="359"/>
      <c r="AB12" s="359"/>
      <c r="AC12" s="1425"/>
      <c r="AD12" s="1425"/>
      <c r="AE12" s="1425"/>
      <c r="AF12" s="1425"/>
      <c r="AG12" s="359"/>
      <c r="AH12" s="359"/>
      <c r="AI12" s="359"/>
      <c r="AJ12" s="359"/>
      <c r="AK12" s="359"/>
      <c r="AL12" s="359"/>
      <c r="AM12" s="359"/>
      <c r="AN12" s="359"/>
      <c r="AO12" s="359"/>
      <c r="AP12" s="3635"/>
      <c r="AQ12" s="3636"/>
      <c r="AR12" s="3637"/>
      <c r="AS12" s="3638"/>
      <c r="AT12" s="3639"/>
      <c r="AU12" s="3640"/>
      <c r="AV12" s="3641"/>
      <c r="AW12" s="3642"/>
      <c r="AX12" s="3643"/>
      <c r="AY12" s="3644"/>
      <c r="AZ12" s="3645"/>
      <c r="BA12" s="3646"/>
      <c r="BB12" s="3647"/>
      <c r="BC12" s="3648"/>
      <c r="BD12" s="3649"/>
      <c r="BE12" s="3650"/>
      <c r="BF12" s="3651"/>
      <c r="BG12" s="3652"/>
      <c r="BH12" s="3653"/>
      <c r="BI12" s="3654"/>
      <c r="BJ12" s="3655"/>
      <c r="BK12" s="3656"/>
      <c r="BL12" s="3657"/>
      <c r="BM12" s="3658"/>
      <c r="BN12" s="3659"/>
      <c r="BO12" s="3660"/>
      <c r="BP12" s="3661"/>
      <c r="BQ12" s="3662"/>
      <c r="BR12" s="3663"/>
      <c r="BS12" s="3664"/>
      <c r="BT12" s="3665"/>
      <c r="BU12" s="3666"/>
      <c r="BV12" s="3667"/>
      <c r="BW12" s="3668"/>
      <c r="BX12" s="3669"/>
      <c r="BY12" s="3670"/>
      <c r="BZ12" s="3671"/>
      <c r="CA12" s="3672"/>
      <c r="CB12" s="3673"/>
      <c r="CC12" s="3674"/>
      <c r="CD12" s="3675"/>
      <c r="CE12" s="3676"/>
      <c r="CF12" s="3677"/>
      <c r="CG12" s="3678"/>
      <c r="CH12" s="3679"/>
      <c r="CI12" s="3680"/>
      <c r="CJ12" s="3681"/>
      <c r="CK12" s="3682"/>
      <c r="CL12" s="3683"/>
      <c r="CM12" s="3684"/>
      <c r="CN12" s="3685"/>
      <c r="CO12" s="3686"/>
      <c r="CP12" s="3687"/>
      <c r="CQ12" s="3688"/>
      <c r="CR12" s="3689"/>
      <c r="CS12" s="3690"/>
      <c r="CT12" s="3691"/>
      <c r="CU12" s="3692"/>
      <c r="CV12" s="3693"/>
      <c r="CW12" s="3694"/>
      <c r="CX12" s="3695"/>
      <c r="CY12" s="3696"/>
      <c r="CZ12" s="3697"/>
      <c r="DA12" s="311"/>
      <c r="DB12" s="2121"/>
      <c r="DD12" s="496"/>
      <c r="DE12" s="496" t="str">
        <f>IF(V12="","",V12)</f>
        <v>Добавить вид теплоносителя (параметры теплоносителя)</v>
      </c>
      <c r="DF12" s="496"/>
      <c r="DG12" s="496"/>
    </row>
    <row customHeight="1" ht="11.25" hidden="1">
      <c r="A13" s="1283"/>
      <c r="B13" s="1283"/>
      <c r="C13" s="1283"/>
      <c r="D13" s="1283"/>
      <c r="E13" s="2150"/>
      <c r="F13" s="2150"/>
      <c r="G13" s="2150"/>
      <c r="H13" s="2150"/>
      <c r="I13" s="1953"/>
      <c r="J13" s="1283"/>
      <c r="K13" s="1283"/>
      <c r="L13" s="1283"/>
      <c r="M13" s="1327"/>
      <c r="N13" s="505"/>
      <c r="Q13" s="2093"/>
      <c r="R13" s="1348"/>
      <c r="S13" s="1348"/>
      <c r="T13" s="344"/>
      <c r="U13" s="1295"/>
      <c r="V13" s="356" t="s">
        <v>419</v>
      </c>
      <c r="W13" s="359"/>
      <c r="X13" s="359"/>
      <c r="Y13" s="359"/>
      <c r="Z13" s="359"/>
      <c r="AA13" s="359"/>
      <c r="AB13" s="359"/>
      <c r="AC13" s="359"/>
      <c r="AD13" s="359"/>
      <c r="AE13" s="359"/>
      <c r="AF13" s="358"/>
      <c r="AG13" s="359"/>
      <c r="AH13" s="359"/>
      <c r="AI13" s="359"/>
      <c r="AJ13" s="359"/>
      <c r="AK13" s="359"/>
      <c r="AL13" s="359"/>
      <c r="AM13" s="359"/>
      <c r="AN13" s="359"/>
      <c r="AO13" s="358"/>
      <c r="AP13" s="3698"/>
      <c r="AQ13" s="3699"/>
      <c r="AR13" s="3700"/>
      <c r="AS13" s="3701"/>
      <c r="AT13" s="3702"/>
      <c r="AU13" s="3703"/>
      <c r="AV13" s="3704"/>
      <c r="AW13" s="3705"/>
      <c r="AX13" s="3706"/>
      <c r="AY13" s="3707"/>
      <c r="AZ13" s="3708"/>
      <c r="BA13" s="3709"/>
      <c r="BB13" s="3710"/>
      <c r="BC13" s="3711"/>
      <c r="BD13" s="3712"/>
      <c r="BE13" s="3713"/>
      <c r="BF13" s="3714"/>
      <c r="BG13" s="3715"/>
      <c r="BH13" s="3716"/>
      <c r="BI13" s="3717"/>
      <c r="BJ13" s="3718"/>
      <c r="BK13" s="3719"/>
      <c r="BL13" s="3720"/>
      <c r="BM13" s="3721"/>
      <c r="BN13" s="3722"/>
      <c r="BO13" s="3723"/>
      <c r="BP13" s="3724"/>
      <c r="BQ13" s="3725"/>
      <c r="BR13" s="3726"/>
      <c r="BS13" s="3727"/>
      <c r="BT13" s="3728"/>
      <c r="BU13" s="3729"/>
      <c r="BV13" s="3730"/>
      <c r="BW13" s="3731"/>
      <c r="BX13" s="3732"/>
      <c r="BY13" s="3733"/>
      <c r="BZ13" s="3734"/>
      <c r="CA13" s="3735"/>
      <c r="CB13" s="3736"/>
      <c r="CC13" s="3737"/>
      <c r="CD13" s="3738"/>
      <c r="CE13" s="3739"/>
      <c r="CF13" s="3740"/>
      <c r="CG13" s="3741"/>
      <c r="CH13" s="3742"/>
      <c r="CI13" s="3743"/>
      <c r="CJ13" s="3744"/>
      <c r="CK13" s="3745"/>
      <c r="CL13" s="3746"/>
      <c r="CM13" s="3747"/>
      <c r="CN13" s="3748"/>
      <c r="CO13" s="3749"/>
      <c r="CP13" s="3750"/>
      <c r="CQ13" s="3751"/>
      <c r="CR13" s="3752"/>
      <c r="CS13" s="3753"/>
      <c r="CT13" s="3754"/>
      <c r="CU13" s="3755"/>
      <c r="CV13" s="3756"/>
      <c r="CW13" s="3757"/>
      <c r="CX13" s="3758"/>
      <c r="CY13" s="3759"/>
      <c r="CZ13" s="3760"/>
      <c r="DA13" s="359"/>
      <c r="DB13" s="283"/>
      <c r="DD13" s="496"/>
      <c r="DE13" s="496" t="str">
        <f>IF(V13="","",V13)</f>
        <v>Добавить группу потребителей</v>
      </c>
      <c r="DF13" s="496"/>
      <c r="DG13" s="496"/>
    </row>
    <row customHeight="1" ht="14.25" hidden="1">
      <c r="A14" s="1283"/>
      <c r="B14" s="1283"/>
      <c r="C14" s="1283"/>
      <c r="D14" s="1283"/>
      <c r="E14" s="2150"/>
      <c r="F14" s="2150"/>
      <c r="G14" s="2150"/>
      <c r="H14" s="2149"/>
      <c r="I14" s="1283"/>
      <c r="J14" s="1283"/>
      <c r="K14" s="1283"/>
      <c r="L14" s="1283"/>
      <c r="M14" s="1327"/>
      <c r="N14" s="683"/>
      <c r="O14" s="683"/>
      <c r="P14" s="505"/>
      <c r="Q14" s="348"/>
      <c r="R14" s="367"/>
      <c r="S14" s="343"/>
      <c r="T14" s="348"/>
      <c r="U14" s="1403"/>
      <c r="V14" s="1404"/>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5"/>
      <c r="AV14" s="1405"/>
      <c r="AW14" s="1405"/>
      <c r="AX14" s="1405"/>
      <c r="AY14" s="1405"/>
      <c r="AZ14" s="1405"/>
      <c r="BA14" s="1405"/>
      <c r="BB14" s="1405"/>
      <c r="BC14" s="1405"/>
      <c r="BD14" s="1405"/>
      <c r="BE14" s="1405"/>
      <c r="BF14" s="1405"/>
      <c r="BG14" s="1405"/>
      <c r="BH14" s="1405"/>
      <c r="BI14" s="1405"/>
      <c r="BJ14" s="1405"/>
      <c r="BK14" s="1405"/>
      <c r="BL14" s="1405"/>
      <c r="BM14" s="1405"/>
      <c r="BN14" s="1405"/>
      <c r="BO14" s="1405"/>
      <c r="BP14" s="1405"/>
      <c r="BQ14" s="1405"/>
      <c r="BR14" s="1405"/>
      <c r="BS14" s="1405"/>
      <c r="BT14" s="1405"/>
      <c r="BU14" s="1405"/>
      <c r="BV14" s="1405"/>
      <c r="BW14" s="1405"/>
      <c r="BX14" s="1405"/>
      <c r="BY14" s="1405"/>
      <c r="BZ14" s="1405"/>
      <c r="CA14" s="1405"/>
      <c r="CB14" s="1405"/>
      <c r="CC14" s="1405"/>
      <c r="CD14" s="1405"/>
      <c r="CE14" s="1405"/>
      <c r="CF14" s="1405"/>
      <c r="CG14" s="1405"/>
      <c r="CH14" s="1405"/>
      <c r="CI14" s="1405"/>
      <c r="CJ14" s="1405"/>
      <c r="CK14" s="1405"/>
      <c r="CL14" s="1405"/>
      <c r="CM14" s="1405"/>
      <c r="CN14" s="1405"/>
      <c r="CO14" s="1405"/>
      <c r="CP14" s="1405"/>
      <c r="CQ14" s="1405"/>
      <c r="CR14" s="1405"/>
      <c r="CS14" s="1405"/>
      <c r="CT14" s="1405"/>
      <c r="CU14" s="1405"/>
      <c r="CV14" s="1405"/>
      <c r="CW14" s="1405"/>
      <c r="CX14" s="1405"/>
      <c r="CY14" s="1405"/>
      <c r="CZ14" s="1405"/>
      <c r="DA14" s="1405"/>
      <c r="DB14" s="1406"/>
      <c r="DD14" s="496"/>
      <c r="DE14" s="496" t="str">
        <f>IF(V14="","",V14)</f>
        <v/>
      </c>
      <c r="DF14" s="496"/>
      <c r="DG14" s="496"/>
    </row>
    <row s="1667" customFormat="1" customHeight="1" ht="14.25" hidden="1">
      <c r="A15" s="1391"/>
      <c r="B15" s="1391"/>
      <c r="C15" s="1391"/>
      <c r="D15" s="1391"/>
      <c r="E15" s="2150"/>
      <c r="F15" s="2150"/>
      <c r="G15" s="2149"/>
      <c r="H15" s="1391"/>
      <c r="I15" s="1391"/>
      <c r="J15" s="1391"/>
      <c r="K15" s="1391"/>
      <c r="L15" s="1391"/>
      <c r="M15" s="1394"/>
      <c r="N15" s="1395"/>
      <c r="O15" s="1395"/>
      <c r="P15" s="339"/>
      <c r="Q15" s="1333"/>
      <c r="R15" s="1334"/>
      <c r="S15" s="1333"/>
      <c r="T15" s="1333"/>
      <c r="U15" s="1335"/>
      <c r="V15" s="1336" t="s">
        <v>166</v>
      </c>
      <c r="W15" s="1337"/>
      <c r="X15" s="1337"/>
      <c r="Y15" s="1337"/>
      <c r="Z15" s="1337"/>
      <c r="AA15" s="1337"/>
      <c r="AB15" s="1337"/>
      <c r="AC15" s="1337"/>
      <c r="AD15" s="1337"/>
      <c r="AE15" s="1337"/>
      <c r="AF15" s="1337"/>
      <c r="AG15" s="1337"/>
      <c r="AH15" s="1337"/>
      <c r="AI15" s="1337"/>
      <c r="AJ15" s="1337"/>
      <c r="AK15" s="1337"/>
      <c r="AL15" s="1337"/>
      <c r="AM15" s="1337"/>
      <c r="AN15" s="1337"/>
      <c r="AO15" s="1337"/>
      <c r="AP15" s="1337"/>
      <c r="AQ15" s="1337"/>
      <c r="AR15" s="1337"/>
      <c r="AS15" s="1337"/>
      <c r="AT15" s="1337"/>
      <c r="AU15" s="1337"/>
      <c r="AV15" s="1337"/>
      <c r="AW15" s="1337"/>
      <c r="AX15" s="1337"/>
      <c r="AY15" s="1337"/>
      <c r="AZ15" s="1337"/>
      <c r="BA15" s="1337"/>
      <c r="BB15" s="1337"/>
      <c r="BC15" s="1337"/>
      <c r="BD15" s="1337"/>
      <c r="BE15" s="1337"/>
      <c r="BF15" s="1337"/>
      <c r="BG15" s="1337"/>
      <c r="BH15" s="1337"/>
      <c r="BI15" s="1337"/>
      <c r="BJ15" s="1337"/>
      <c r="BK15" s="1337"/>
      <c r="BL15" s="1337"/>
      <c r="BM15" s="1337"/>
      <c r="BN15" s="1337"/>
      <c r="BO15" s="1337"/>
      <c r="BP15" s="1337"/>
      <c r="BQ15" s="1337"/>
      <c r="BR15" s="1337"/>
      <c r="BS15" s="1337"/>
      <c r="BT15" s="1337"/>
      <c r="BU15" s="1337"/>
      <c r="BV15" s="1337"/>
      <c r="BW15" s="1337"/>
      <c r="BX15" s="1337"/>
      <c r="BY15" s="1337"/>
      <c r="BZ15" s="1337"/>
      <c r="CA15" s="1337"/>
      <c r="CB15" s="1337"/>
      <c r="CC15" s="1337"/>
      <c r="CD15" s="1337"/>
      <c r="CE15" s="1337"/>
      <c r="CF15" s="1337"/>
      <c r="CG15" s="1337"/>
      <c r="CH15" s="1337"/>
      <c r="CI15" s="1337"/>
      <c r="CJ15" s="1337"/>
      <c r="CK15" s="1337"/>
      <c r="CL15" s="1337"/>
      <c r="CM15" s="1337"/>
      <c r="CN15" s="1337"/>
      <c r="CO15" s="1337"/>
      <c r="CP15" s="1337"/>
      <c r="CQ15" s="1337"/>
      <c r="CR15" s="1337"/>
      <c r="CS15" s="1337"/>
      <c r="CT15" s="1337"/>
      <c r="CU15" s="1337"/>
      <c r="CV15" s="1337"/>
      <c r="CW15" s="1337"/>
      <c r="CX15" s="1337"/>
      <c r="CY15" s="1337"/>
      <c r="CZ15" s="1337"/>
      <c r="DA15" s="1337"/>
      <c r="DB15" s="1337"/>
      <c r="DD15" s="783"/>
      <c r="DE15" s="783" t="str">
        <f>IF(V15="","",V15)</f>
        <v>Добавить источник для дифференциации</v>
      </c>
      <c r="DF15" s="783"/>
      <c r="DG15" s="783"/>
    </row>
    <row s="1667" customFormat="1" customHeight="1" ht="14.25" hidden="1">
      <c r="A16" s="1391"/>
      <c r="B16" s="1391"/>
      <c r="C16" s="1391"/>
      <c r="D16" s="1391"/>
      <c r="E16" s="2150"/>
      <c r="F16" s="2149"/>
      <c r="G16" s="1391"/>
      <c r="H16" s="1391"/>
      <c r="I16" s="1391"/>
      <c r="J16" s="1391"/>
      <c r="K16" s="1391"/>
      <c r="L16" s="1391"/>
      <c r="M16" s="1394"/>
      <c r="N16" s="1396"/>
      <c r="O16" s="1396"/>
      <c r="P16" s="339"/>
      <c r="Q16" s="1333"/>
      <c r="R16" s="1334"/>
      <c r="S16" s="1333"/>
      <c r="T16" s="1333"/>
      <c r="U16" s="1339"/>
      <c r="V16" s="1340" t="s">
        <v>167</v>
      </c>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V16" s="1341"/>
      <c r="AW16" s="1341"/>
      <c r="AX16" s="1341"/>
      <c r="AY16" s="1341"/>
      <c r="AZ16" s="1341"/>
      <c r="BA16" s="1341"/>
      <c r="BB16" s="1341"/>
      <c r="BC16" s="1341"/>
      <c r="BD16" s="1341"/>
      <c r="BE16" s="1341"/>
      <c r="BF16" s="1341"/>
      <c r="BG16" s="1341"/>
      <c r="BH16" s="1341"/>
      <c r="BI16" s="1341"/>
      <c r="BJ16" s="1341"/>
      <c r="BK16" s="1341"/>
      <c r="BL16" s="1341"/>
      <c r="BM16" s="1341"/>
      <c r="BN16" s="1341"/>
      <c r="BO16" s="1341"/>
      <c r="BP16" s="1341"/>
      <c r="BQ16" s="1341"/>
      <c r="BR16" s="1341"/>
      <c r="BS16" s="1341"/>
      <c r="BT16" s="1341"/>
      <c r="BU16" s="1341"/>
      <c r="BV16" s="1341"/>
      <c r="BW16" s="1341"/>
      <c r="BX16" s="1341"/>
      <c r="BY16" s="1341"/>
      <c r="BZ16" s="1341"/>
      <c r="CA16" s="1341"/>
      <c r="CB16" s="1341"/>
      <c r="CC16" s="1341"/>
      <c r="CD16" s="1341"/>
      <c r="CE16" s="1341"/>
      <c r="CF16" s="1341"/>
      <c r="CG16" s="1341"/>
      <c r="CH16" s="1341"/>
      <c r="CI16" s="1341"/>
      <c r="CJ16" s="1341"/>
      <c r="CK16" s="1341"/>
      <c r="CL16" s="1341"/>
      <c r="CM16" s="1341"/>
      <c r="CN16" s="1341"/>
      <c r="CO16" s="1341"/>
      <c r="CP16" s="1341"/>
      <c r="CQ16" s="1341"/>
      <c r="CR16" s="1341"/>
      <c r="CS16" s="1341"/>
      <c r="CT16" s="1341"/>
      <c r="CU16" s="1341"/>
      <c r="CV16" s="1341"/>
      <c r="CW16" s="1341"/>
      <c r="CX16" s="1341"/>
      <c r="CY16" s="1341"/>
      <c r="CZ16" s="1341"/>
      <c r="DA16" s="1341"/>
      <c r="DB16" s="1341"/>
      <c r="DD16" s="783"/>
      <c r="DE16" s="783" t="str">
        <f>IF(V16="","",V16)</f>
        <v>Добавить централизованную систему для дифференциации</v>
      </c>
      <c r="DF16" s="783"/>
      <c r="DG16" s="783"/>
    </row>
    <row s="1667" customFormat="1" customHeight="1" ht="14.25" hidden="1">
      <c r="A17" s="1391"/>
      <c r="B17" s="1391"/>
      <c r="C17" s="1391"/>
      <c r="D17" s="1391"/>
      <c r="E17" s="2149"/>
      <c r="F17" s="1391"/>
      <c r="G17" s="1391"/>
      <c r="H17" s="1391"/>
      <c r="I17" s="1391"/>
      <c r="J17" s="1391"/>
      <c r="K17" s="1391"/>
      <c r="L17" s="1391"/>
      <c r="M17" s="1394"/>
      <c r="N17" s="1396"/>
      <c r="O17" s="1396"/>
      <c r="P17" s="339"/>
      <c r="Q17" s="1333"/>
      <c r="R17" s="1334"/>
      <c r="S17" s="1333"/>
      <c r="T17" s="1333"/>
      <c r="U17" s="1339"/>
      <c r="V17" s="1342" t="s">
        <v>168</v>
      </c>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V17" s="1341"/>
      <c r="AW17" s="1341"/>
      <c r="AX17" s="1341"/>
      <c r="AY17" s="1341"/>
      <c r="AZ17" s="1341"/>
      <c r="BA17" s="1341"/>
      <c r="BB17" s="1341"/>
      <c r="BC17" s="1341"/>
      <c r="BD17" s="1341"/>
      <c r="BE17" s="1341"/>
      <c r="BF17" s="1341"/>
      <c r="BG17" s="1341"/>
      <c r="BH17" s="1341"/>
      <c r="BI17" s="1341"/>
      <c r="BJ17" s="1341"/>
      <c r="BK17" s="1341"/>
      <c r="BL17" s="1341"/>
      <c r="BM17" s="1341"/>
      <c r="BN17" s="1341"/>
      <c r="BO17" s="1341"/>
      <c r="BP17" s="1341"/>
      <c r="BQ17" s="1341"/>
      <c r="BR17" s="1341"/>
      <c r="BS17" s="1341"/>
      <c r="BT17" s="1341"/>
      <c r="BU17" s="1341"/>
      <c r="BV17" s="1341"/>
      <c r="BW17" s="1341"/>
      <c r="BX17" s="1341"/>
      <c r="BY17" s="1341"/>
      <c r="BZ17" s="1341"/>
      <c r="CA17" s="1341"/>
      <c r="CB17" s="1341"/>
      <c r="CC17" s="1341"/>
      <c r="CD17" s="1341"/>
      <c r="CE17" s="1341"/>
      <c r="CF17" s="1341"/>
      <c r="CG17" s="1341"/>
      <c r="CH17" s="1341"/>
      <c r="CI17" s="1341"/>
      <c r="CJ17" s="1341"/>
      <c r="CK17" s="1341"/>
      <c r="CL17" s="1341"/>
      <c r="CM17" s="1341"/>
      <c r="CN17" s="1341"/>
      <c r="CO17" s="1341"/>
      <c r="CP17" s="1341"/>
      <c r="CQ17" s="1341"/>
      <c r="CR17" s="1341"/>
      <c r="CS17" s="1341"/>
      <c r="CT17" s="1341"/>
      <c r="CU17" s="1341"/>
      <c r="CV17" s="1341"/>
      <c r="CW17" s="1341"/>
      <c r="CX17" s="1341"/>
      <c r="CY17" s="1341"/>
      <c r="CZ17" s="1341"/>
      <c r="DA17" s="1341"/>
      <c r="DB17" s="1341"/>
      <c r="DD17" s="783"/>
      <c r="DE17" s="783" t="str">
        <f>IF(V17="","",V17)</f>
        <v>Добавить территорию для дифференциации</v>
      </c>
      <c r="DF17" s="783"/>
      <c r="DG17" s="783"/>
    </row>
    <row customHeight="1" ht="14.25" hidden="1">
      <c r="AF18" s="315"/>
      <c r="AO18" s="315"/>
      <c r="AP18" s="1660"/>
      <c r="AQ18" s="1660"/>
      <c r="AR18" s="1660"/>
      <c r="AS18" s="1660"/>
      <c r="AT18" s="1660"/>
      <c r="AU18" s="1660"/>
      <c r="AV18" s="1660"/>
      <c r="AW18" s="1660"/>
      <c r="AX18" s="1660"/>
      <c r="AY18" s="1660"/>
      <c r="AZ18" s="1660"/>
      <c r="BA18" s="1660"/>
      <c r="BB18" s="1660"/>
      <c r="BC18" s="1660"/>
      <c r="BD18" s="1660"/>
      <c r="BE18" s="1660"/>
      <c r="BF18" s="1660"/>
      <c r="BG18" s="1660"/>
      <c r="BH18" s="1660"/>
      <c r="BI18" s="1660"/>
      <c r="BJ18" s="1660"/>
      <c r="BK18" s="1660"/>
      <c r="BL18" s="1660"/>
      <c r="BM18" s="1660"/>
      <c r="BN18" s="1660"/>
      <c r="BO18" s="1660"/>
      <c r="BP18" s="1660"/>
      <c r="BQ18" s="1660"/>
      <c r="BR18" s="1660"/>
      <c r="BS18" s="1660"/>
      <c r="BT18" s="1660"/>
      <c r="BU18" s="1660"/>
      <c r="BV18" s="1660"/>
      <c r="BW18" s="1660"/>
      <c r="BX18" s="1660"/>
      <c r="BY18" s="1660"/>
      <c r="BZ18" s="1660"/>
      <c r="CA18" s="1660"/>
      <c r="CB18" s="1660"/>
      <c r="CC18" s="1660"/>
      <c r="CD18" s="1660"/>
      <c r="CE18" s="1660"/>
      <c r="CF18" s="1660"/>
      <c r="CG18" s="1660"/>
      <c r="CH18" s="1660"/>
      <c r="CI18" s="1660"/>
      <c r="CJ18" s="1660"/>
      <c r="CK18" s="1660"/>
      <c r="CL18" s="1660"/>
      <c r="CM18" s="1660"/>
      <c r="CN18" s="1660"/>
      <c r="CO18" s="1660"/>
      <c r="CP18" s="1660"/>
      <c r="CQ18" s="1660"/>
      <c r="CR18" s="1660"/>
      <c r="CS18" s="1660"/>
      <c r="CT18" s="1660"/>
      <c r="CU18" s="1660"/>
      <c r="CV18" s="1660"/>
      <c r="CW18" s="1660"/>
      <c r="CX18" s="1660"/>
      <c r="CY18" s="1660"/>
      <c r="CZ18" s="1660"/>
    </row>
    <row customHeight="1" ht="14.25" hidden="1">
      <c r="AG19" s="1377"/>
      <c r="AH19" s="1377"/>
      <c r="AI19" s="1377"/>
      <c r="AJ19" s="1377"/>
      <c r="AK19" s="1378"/>
      <c r="AL19" s="2087"/>
      <c r="AM19" s="2086" t="s">
        <v>66</v>
      </c>
      <c r="AN19" s="2087"/>
      <c r="AO19" s="2086" t="s">
        <v>66</v>
      </c>
      <c r="AP19" s="1660"/>
      <c r="AQ19" s="1660"/>
      <c r="AR19" s="1660"/>
      <c r="AS19" s="1660"/>
      <c r="AT19" s="1660"/>
      <c r="AU19" s="1660"/>
      <c r="AV19" s="1660"/>
      <c r="AW19" s="1660"/>
      <c r="AX19" s="1660"/>
      <c r="AY19" s="1660"/>
      <c r="AZ19" s="1660"/>
      <c r="BA19" s="1660"/>
      <c r="BB19" s="1660"/>
      <c r="BC19" s="1660"/>
      <c r="BD19" s="1660"/>
      <c r="BE19" s="1660"/>
      <c r="BF19" s="1660"/>
      <c r="BG19" s="1660"/>
      <c r="BH19" s="1660"/>
      <c r="BI19" s="1660"/>
      <c r="BJ19" s="1660"/>
      <c r="BK19" s="1660"/>
      <c r="BL19" s="1660"/>
      <c r="BM19" s="1660"/>
      <c r="BN19" s="1660"/>
      <c r="BO19" s="1660"/>
      <c r="BP19" s="1660"/>
      <c r="BQ19" s="1660"/>
      <c r="BR19" s="1660"/>
      <c r="BS19" s="1660"/>
      <c r="BT19" s="1660"/>
      <c r="BU19" s="1660"/>
      <c r="BV19" s="1660"/>
      <c r="BW19" s="1660"/>
      <c r="BX19" s="1660"/>
      <c r="BY19" s="1660"/>
      <c r="BZ19" s="1660"/>
      <c r="CA19" s="1660"/>
      <c r="CB19" s="1660"/>
      <c r="CC19" s="1660"/>
      <c r="CD19" s="1660"/>
      <c r="CE19" s="1660"/>
      <c r="CF19" s="1660"/>
      <c r="CG19" s="1660"/>
      <c r="CH19" s="1660"/>
      <c r="CI19" s="1660"/>
      <c r="CJ19" s="1660"/>
      <c r="CK19" s="1660"/>
      <c r="CL19" s="1660"/>
      <c r="CM19" s="1660"/>
      <c r="CN19" s="1660"/>
      <c r="CO19" s="1660"/>
      <c r="CP19" s="1660"/>
      <c r="CQ19" s="1660"/>
      <c r="CR19" s="1660"/>
      <c r="CS19" s="1660"/>
      <c r="CT19" s="1660"/>
      <c r="CU19" s="1660"/>
      <c r="CV19" s="1660"/>
      <c r="CW19" s="1660"/>
      <c r="CX19" s="1660"/>
      <c r="CY19" s="1660"/>
      <c r="CZ19" s="1660"/>
    </row>
    <row customHeight="1" ht="14.25" hidden="1">
      <c r="AG20" s="1377"/>
      <c r="AH20" s="1377"/>
      <c r="AI20" s="1377"/>
      <c r="AJ20" s="1377"/>
      <c r="AK20" s="1378"/>
      <c r="AL20" s="2087"/>
      <c r="AM20" s="2086"/>
      <c r="AN20" s="2087"/>
      <c r="AO20" s="2086"/>
      <c r="AP20" s="1660"/>
      <c r="AQ20" s="1660"/>
      <c r="AR20" s="1660"/>
      <c r="AS20" s="1660"/>
      <c r="AT20" s="1660"/>
      <c r="AU20" s="1660"/>
      <c r="AV20" s="1660"/>
      <c r="AW20" s="1660"/>
      <c r="AX20" s="1660"/>
      <c r="AY20" s="1660"/>
      <c r="AZ20" s="1660"/>
      <c r="BA20" s="1660"/>
      <c r="BB20" s="1660"/>
      <c r="BC20" s="1660"/>
      <c r="BD20" s="1660"/>
      <c r="BE20" s="1660"/>
      <c r="BF20" s="1660"/>
      <c r="BG20" s="1660"/>
      <c r="BH20" s="1660"/>
      <c r="BI20" s="1660"/>
      <c r="BJ20" s="1660"/>
      <c r="BK20" s="1660"/>
      <c r="BL20" s="1660"/>
      <c r="BM20" s="1660"/>
      <c r="BN20" s="1660"/>
      <c r="BO20" s="1660"/>
      <c r="BP20" s="1660"/>
      <c r="BQ20" s="1660"/>
      <c r="BR20" s="1660"/>
      <c r="BS20" s="1660"/>
      <c r="BT20" s="1660"/>
      <c r="BU20" s="1660"/>
      <c r="BV20" s="1660"/>
      <c r="BW20" s="1660"/>
      <c r="BX20" s="1660"/>
      <c r="BY20" s="1660"/>
      <c r="BZ20" s="1660"/>
      <c r="CA20" s="1660"/>
      <c r="CB20" s="1660"/>
      <c r="CC20" s="1660"/>
      <c r="CD20" s="1660"/>
      <c r="CE20" s="1660"/>
      <c r="CF20" s="1660"/>
      <c r="CG20" s="1660"/>
      <c r="CH20" s="1660"/>
      <c r="CI20" s="1660"/>
      <c r="CJ20" s="1660"/>
      <c r="CK20" s="1660"/>
      <c r="CL20" s="1660"/>
      <c r="CM20" s="1660"/>
      <c r="CN20" s="1660"/>
      <c r="CO20" s="1660"/>
      <c r="CP20" s="1660"/>
      <c r="CQ20" s="1660"/>
      <c r="CR20" s="1660"/>
      <c r="CS20" s="1660"/>
      <c r="CT20" s="1660"/>
      <c r="CU20" s="1660"/>
      <c r="CV20" s="1660"/>
      <c r="CW20" s="1660"/>
      <c r="CX20" s="1660"/>
      <c r="CY20" s="1660"/>
      <c r="CZ20" s="1660"/>
    </row>
    <row customHeight="1" ht="14.25" hidden="1">
      <c r="AG21" s="1377"/>
      <c r="AH21" s="1377"/>
      <c r="AI21" s="1377"/>
      <c r="AJ21" s="1377"/>
      <c r="AK21" s="1378"/>
      <c r="AL21" s="2087"/>
      <c r="AM21" s="2086"/>
      <c r="AN21" s="2087"/>
      <c r="AO21" s="2086"/>
      <c r="AP21" s="1660"/>
      <c r="AQ21" s="1660"/>
      <c r="AR21" s="1660"/>
      <c r="AS21" s="1660"/>
      <c r="AT21" s="1660"/>
      <c r="AU21" s="1660"/>
      <c r="AV21" s="1660"/>
      <c r="AW21" s="1660"/>
      <c r="AX21" s="1660"/>
      <c r="AY21" s="1660"/>
      <c r="AZ21" s="1660"/>
      <c r="BA21" s="1660"/>
      <c r="BB21" s="1660"/>
      <c r="BC21" s="1660"/>
      <c r="BD21" s="1660"/>
      <c r="BE21" s="1660"/>
      <c r="BF21" s="1660"/>
      <c r="BG21" s="1660"/>
      <c r="BH21" s="1660"/>
      <c r="BI21" s="1660"/>
      <c r="BJ21" s="1660"/>
      <c r="BK21" s="1660"/>
      <c r="BL21" s="1660"/>
      <c r="BM21" s="1660"/>
      <c r="BN21" s="1660"/>
      <c r="BO21" s="1660"/>
      <c r="BP21" s="1660"/>
      <c r="BQ21" s="1660"/>
      <c r="BR21" s="1660"/>
      <c r="BS21" s="1660"/>
      <c r="BT21" s="1660"/>
      <c r="BU21" s="1660"/>
      <c r="BV21" s="1660"/>
      <c r="BW21" s="1660"/>
      <c r="BX21" s="1660"/>
      <c r="BY21" s="1660"/>
      <c r="BZ21" s="1660"/>
      <c r="CA21" s="1660"/>
      <c r="CB21" s="1660"/>
      <c r="CC21" s="1660"/>
      <c r="CD21" s="1660"/>
      <c r="CE21" s="1660"/>
      <c r="CF21" s="1660"/>
      <c r="CG21" s="1660"/>
      <c r="CH21" s="1660"/>
      <c r="CI21" s="1660"/>
      <c r="CJ21" s="1660"/>
      <c r="CK21" s="1660"/>
      <c r="CL21" s="1660"/>
      <c r="CM21" s="1660"/>
      <c r="CN21" s="1660"/>
      <c r="CO21" s="1660"/>
      <c r="CP21" s="1660"/>
      <c r="CQ21" s="1660"/>
      <c r="CR21" s="1660"/>
      <c r="CS21" s="1660"/>
      <c r="CT21" s="1660"/>
      <c r="CU21" s="1660"/>
      <c r="CV21" s="1660"/>
      <c r="CW21" s="1660"/>
      <c r="CX21" s="1660"/>
      <c r="CY21" s="1660"/>
      <c r="CZ21" s="1660"/>
    </row>
    <row customHeight="1" ht="14.25" hidden="1">
      <c r="AG22" s="1377"/>
      <c r="AH22" s="1377"/>
      <c r="AI22" s="1377"/>
      <c r="AJ22" s="1377"/>
      <c r="AK22" s="316" t="str">
        <f>AL19&amp;"-"&amp;AN19</f>
        <v>-</v>
      </c>
      <c r="AL22" s="2086"/>
      <c r="AM22" s="2086"/>
      <c r="AN22" s="2086"/>
      <c r="AO22" s="2086"/>
      <c r="AP22" s="1660"/>
      <c r="AQ22" s="1660"/>
      <c r="AR22" s="1660"/>
      <c r="AS22" s="1660"/>
      <c r="AT22" s="1660"/>
      <c r="AU22" s="1660"/>
      <c r="AV22" s="1660"/>
      <c r="AW22" s="1660"/>
      <c r="AX22" s="1660"/>
      <c r="AY22" s="1660"/>
      <c r="AZ22" s="1660"/>
      <c r="BA22" s="1660"/>
      <c r="BB22" s="1660"/>
      <c r="BC22" s="1660"/>
      <c r="BD22" s="1660"/>
      <c r="BE22" s="1660"/>
      <c r="BF22" s="1660"/>
      <c r="BG22" s="1660"/>
      <c r="BH22" s="1660"/>
      <c r="BI22" s="1660"/>
      <c r="BJ22" s="1660"/>
      <c r="BK22" s="1660"/>
      <c r="BL22" s="1660"/>
      <c r="BM22" s="1660"/>
      <c r="BN22" s="1660"/>
      <c r="BO22" s="1660"/>
      <c r="BP22" s="1660"/>
      <c r="BQ22" s="1660"/>
      <c r="BR22" s="1660"/>
      <c r="BS22" s="1660"/>
      <c r="BT22" s="1660"/>
      <c r="BU22" s="1660"/>
      <c r="BV22" s="1660"/>
      <c r="BW22" s="1660"/>
      <c r="BX22" s="1660"/>
      <c r="BY22" s="1660"/>
      <c r="BZ22" s="1660"/>
      <c r="CA22" s="1660"/>
      <c r="CB22" s="1660"/>
      <c r="CC22" s="1660"/>
      <c r="CD22" s="1660"/>
      <c r="CE22" s="1660"/>
      <c r="CF22" s="1660"/>
      <c r="CG22" s="1660"/>
      <c r="CH22" s="1660"/>
      <c r="CI22" s="1660"/>
      <c r="CJ22" s="1660"/>
      <c r="CK22" s="1660"/>
      <c r="CL22" s="1660"/>
      <c r="CM22" s="1660"/>
      <c r="CN22" s="1660"/>
      <c r="CO22" s="1660"/>
      <c r="CP22" s="1660"/>
      <c r="CQ22" s="1660"/>
      <c r="CR22" s="1660"/>
      <c r="CS22" s="1660"/>
      <c r="CT22" s="1660"/>
      <c r="CU22" s="1660"/>
      <c r="CV22" s="1660"/>
      <c r="CW22" s="1660"/>
      <c r="CX22" s="1660"/>
      <c r="CY22" s="1660"/>
      <c r="CZ22" s="1660"/>
    </row>
    <row customHeight="1" ht="14.25" hidden="1">
      <c r="AO23" s="315"/>
      <c r="AP23" s="1660"/>
      <c r="AQ23" s="1660"/>
      <c r="AR23" s="1660"/>
      <c r="AS23" s="1660"/>
      <c r="AT23" s="1660"/>
      <c r="AU23" s="1660"/>
      <c r="AV23" s="1660"/>
      <c r="AW23" s="1660"/>
      <c r="AX23" s="1660"/>
      <c r="AY23" s="1660"/>
      <c r="AZ23" s="1660"/>
      <c r="BA23" s="1660"/>
      <c r="BB23" s="1660"/>
      <c r="BC23" s="1660"/>
      <c r="BD23" s="1660"/>
      <c r="BE23" s="1660"/>
      <c r="BF23" s="1660"/>
      <c r="BG23" s="1660"/>
      <c r="BH23" s="1660"/>
      <c r="BI23" s="1660"/>
      <c r="BJ23" s="1660"/>
      <c r="BK23" s="1660"/>
      <c r="BL23" s="1660"/>
      <c r="BM23" s="1660"/>
      <c r="BN23" s="1660"/>
      <c r="BO23" s="1660"/>
      <c r="BP23" s="1660"/>
      <c r="BQ23" s="1660"/>
      <c r="BR23" s="1660"/>
      <c r="BS23" s="1660"/>
      <c r="BT23" s="1660"/>
      <c r="BU23" s="1660"/>
      <c r="BV23" s="1660"/>
      <c r="BW23" s="1660"/>
      <c r="BX23" s="1660"/>
      <c r="BY23" s="1660"/>
      <c r="BZ23" s="1660"/>
      <c r="CA23" s="1660"/>
      <c r="CB23" s="1660"/>
      <c r="CC23" s="1660"/>
      <c r="CD23" s="1660"/>
      <c r="CE23" s="1660"/>
      <c r="CF23" s="1660"/>
      <c r="CG23" s="1660"/>
      <c r="CH23" s="1660"/>
      <c r="CI23" s="1660"/>
      <c r="CJ23" s="1660"/>
      <c r="CK23" s="1660"/>
      <c r="CL23" s="1660"/>
      <c r="CM23" s="1660"/>
      <c r="CN23" s="1660"/>
      <c r="CO23" s="1660"/>
      <c r="CP23" s="1660"/>
      <c r="CQ23" s="1660"/>
      <c r="CR23" s="1660"/>
      <c r="CS23" s="1660"/>
      <c r="CT23" s="1660"/>
      <c r="CU23" s="1660"/>
      <c r="CV23" s="1660"/>
      <c r="CW23" s="1660"/>
      <c r="CX23" s="1660"/>
      <c r="CY23" s="1660"/>
      <c r="CZ23" s="1660"/>
    </row>
    <row s="1383" customFormat="1" customHeight="1" ht="22.5" hidden="1">
      <c r="A24" s="1150"/>
      <c r="B24" s="1150"/>
      <c r="C24" s="1150"/>
      <c r="D24" s="1150"/>
      <c r="E24" s="1150"/>
      <c r="F24" s="1150"/>
      <c r="G24" s="1150"/>
      <c r="H24" s="1150"/>
      <c r="I24" s="1150"/>
      <c r="J24" s="1150"/>
      <c r="K24" s="1150"/>
      <c r="L24" s="1150"/>
      <c r="M24" s="1344"/>
      <c r="N24" s="1345"/>
      <c r="O24" s="1345"/>
      <c r="P24" s="1362" t="s">
        <v>421</v>
      </c>
      <c r="Q24" s="1379"/>
      <c r="R24" s="1388"/>
      <c r="S24" s="1388"/>
      <c r="T24" s="1388"/>
      <c r="U24" s="724"/>
      <c r="AC24" s="1384"/>
      <c r="AE24" s="1384"/>
      <c r="AF24" s="1383"/>
      <c r="AL24" s="1384"/>
      <c r="AN24" s="1384"/>
      <c r="AO24" s="1383"/>
      <c r="AP24" s="1383"/>
      <c r="AQ24" s="1383"/>
      <c r="AR24" s="1383"/>
      <c r="AS24" s="1383"/>
      <c r="AT24" s="1383"/>
      <c r="AU24" s="1384"/>
      <c r="AV24" s="1383"/>
      <c r="AW24" s="1384"/>
      <c r="AX24" s="1383"/>
      <c r="AY24" s="1383"/>
      <c r="AZ24" s="1383"/>
      <c r="BA24" s="1383"/>
      <c r="BB24" s="1383"/>
      <c r="BC24" s="1383"/>
      <c r="BD24" s="1384"/>
      <c r="BE24" s="1383"/>
      <c r="BF24" s="1384"/>
      <c r="BG24" s="1383"/>
      <c r="BH24" s="1383"/>
      <c r="BI24" s="1383"/>
      <c r="BJ24" s="1383"/>
      <c r="BK24" s="1383"/>
      <c r="BL24" s="1383"/>
      <c r="BM24" s="1384"/>
      <c r="BN24" s="1383"/>
      <c r="BO24" s="1384"/>
      <c r="BP24" s="1383"/>
      <c r="BQ24" s="1383"/>
      <c r="BR24" s="1383"/>
      <c r="BS24" s="1383"/>
      <c r="BT24" s="1383"/>
      <c r="BU24" s="1383"/>
      <c r="BV24" s="1384"/>
      <c r="BW24" s="1383"/>
      <c r="BX24" s="1384"/>
      <c r="BY24" s="1383"/>
      <c r="BZ24" s="1383"/>
      <c r="CA24" s="1383"/>
      <c r="CB24" s="1383"/>
      <c r="CC24" s="1383"/>
      <c r="CD24" s="1383"/>
      <c r="CE24" s="1384"/>
      <c r="CF24" s="1383"/>
      <c r="CG24" s="1384"/>
      <c r="CH24" s="1383"/>
      <c r="CI24" s="1383"/>
      <c r="CJ24" s="1383"/>
      <c r="CK24" s="1383"/>
      <c r="CL24" s="1383"/>
      <c r="CM24" s="1383"/>
      <c r="CN24" s="1384"/>
      <c r="CO24" s="1383"/>
      <c r="CP24" s="1384"/>
      <c r="CQ24" s="1383"/>
      <c r="CR24" s="1383"/>
      <c r="CS24" s="1383"/>
      <c r="CT24" s="1383"/>
      <c r="CU24" s="1383"/>
      <c r="CV24" s="1383"/>
      <c r="CW24" s="1384"/>
      <c r="CX24" s="1383"/>
      <c r="CY24" s="1384"/>
      <c r="CZ24" s="1383"/>
      <c r="DC24" s="507"/>
      <c r="DD24" s="507"/>
      <c r="DE24" s="507"/>
      <c r="DF24" s="507"/>
      <c r="DG24" s="507"/>
    </row>
    <row s="1383" customFormat="1" customHeight="1" ht="14.25" hidden="1">
      <c r="A25" s="1150"/>
      <c r="B25" s="1150"/>
      <c r="C25" s="1150"/>
      <c r="D25" s="1150"/>
      <c r="E25" s="1150"/>
      <c r="F25" s="1150"/>
      <c r="G25" s="1150"/>
      <c r="H25" s="1150"/>
      <c r="I25" s="1150"/>
      <c r="J25" s="1150"/>
      <c r="K25" s="1150"/>
      <c r="L25" s="1150"/>
      <c r="M25" s="1344"/>
      <c r="N25" s="1345"/>
      <c r="O25" s="1345"/>
      <c r="P25" s="1345"/>
      <c r="Q25" s="1379"/>
      <c r="R25" s="1388"/>
      <c r="S25" s="1388"/>
      <c r="T25" s="1388"/>
      <c r="U25" s="724"/>
      <c r="AF25" s="1383"/>
      <c r="AO25" s="1383"/>
      <c r="AP25" s="1383"/>
      <c r="AQ25" s="1383"/>
      <c r="AR25" s="1383"/>
      <c r="AS25" s="1383"/>
      <c r="AT25" s="1383"/>
      <c r="AU25" s="1383"/>
      <c r="AV25" s="1383"/>
      <c r="AW25" s="1383"/>
      <c r="AX25" s="1383"/>
      <c r="AY25" s="1383"/>
      <c r="AZ25" s="1383"/>
      <c r="BA25" s="1383"/>
      <c r="BB25" s="1383"/>
      <c r="BC25" s="1383"/>
      <c r="BD25" s="1383"/>
      <c r="BE25" s="1383"/>
      <c r="BF25" s="1383"/>
      <c r="BG25" s="1383"/>
      <c r="BH25" s="1383"/>
      <c r="BI25" s="1383"/>
      <c r="BJ25" s="1383"/>
      <c r="BK25" s="1383"/>
      <c r="BL25" s="1383"/>
      <c r="BM25" s="1383"/>
      <c r="BN25" s="1383"/>
      <c r="BO25" s="1383"/>
      <c r="BP25" s="1383"/>
      <c r="BQ25" s="1383"/>
      <c r="BR25" s="1383"/>
      <c r="BS25" s="1383"/>
      <c r="BT25" s="1383"/>
      <c r="BU25" s="1383"/>
      <c r="BV25" s="1383"/>
      <c r="BW25" s="1383"/>
      <c r="BX25" s="1383"/>
      <c r="BY25" s="1383"/>
      <c r="BZ25" s="1383"/>
      <c r="CA25" s="1383"/>
      <c r="CB25" s="1383"/>
      <c r="CC25" s="1383"/>
      <c r="CD25" s="1383"/>
      <c r="CE25" s="1383"/>
      <c r="CF25" s="1383"/>
      <c r="CG25" s="1383"/>
      <c r="CH25" s="1383"/>
      <c r="CI25" s="1383"/>
      <c r="CJ25" s="1383"/>
      <c r="CK25" s="1383"/>
      <c r="CL25" s="1383"/>
      <c r="CM25" s="1383"/>
      <c r="CN25" s="1383"/>
      <c r="CO25" s="1383"/>
      <c r="CP25" s="1383"/>
      <c r="CQ25" s="1383"/>
      <c r="CR25" s="1383"/>
      <c r="CS25" s="1383"/>
      <c r="CT25" s="1383"/>
      <c r="CU25" s="1383"/>
      <c r="CV25" s="1383"/>
      <c r="CW25" s="1383"/>
      <c r="CX25" s="1383"/>
      <c r="CY25" s="1383"/>
      <c r="CZ25" s="1383"/>
      <c r="DC25" s="507"/>
      <c r="DD25" s="507"/>
      <c r="DE25" s="507"/>
      <c r="DF25" s="507"/>
      <c r="DG25" s="507"/>
    </row>
    <row s="1383" customFormat="1" customHeight="1" ht="14.25" hidden="1">
      <c r="A26" s="1150"/>
      <c r="B26" s="1150"/>
      <c r="C26" s="1150"/>
      <c r="D26" s="1150"/>
      <c r="E26" s="1150"/>
      <c r="F26" s="1150"/>
      <c r="G26" s="1150"/>
      <c r="H26" s="1150"/>
      <c r="I26" s="1150"/>
      <c r="J26" s="1150"/>
      <c r="K26" s="1150"/>
      <c r="L26" s="1150"/>
      <c r="M26" s="1344"/>
      <c r="N26" s="1345"/>
      <c r="O26" s="1345"/>
      <c r="P26" s="1327" t="s">
        <v>422</v>
      </c>
      <c r="Q26" s="1379"/>
      <c r="R26" s="1388"/>
      <c r="S26" s="1388"/>
      <c r="T26" s="1388"/>
      <c r="U26" s="724"/>
      <c r="V26" s="1155" t="s">
        <v>423</v>
      </c>
      <c r="AD26" s="166" t="s">
        <v>424</v>
      </c>
      <c r="AF26" s="166" t="s">
        <v>425</v>
      </c>
      <c r="AG26" s="1155" t="s">
        <v>423</v>
      </c>
      <c r="AM26" s="166" t="s">
        <v>426</v>
      </c>
      <c r="AO26" s="166" t="s">
        <v>425</v>
      </c>
      <c r="AP26" s="1383"/>
      <c r="AQ26" s="1383"/>
      <c r="AR26" s="1383"/>
      <c r="AS26" s="1383"/>
      <c r="AT26" s="1383"/>
      <c r="AU26" s="1383"/>
      <c r="AV26" s="1387" t="s">
        <v>424</v>
      </c>
      <c r="AW26" s="1383"/>
      <c r="AX26" s="1387" t="s">
        <v>425</v>
      </c>
      <c r="AY26" s="1383"/>
      <c r="AZ26" s="1383"/>
      <c r="BA26" s="1383"/>
      <c r="BB26" s="1383"/>
      <c r="BC26" s="1383"/>
      <c r="BD26" s="1383"/>
      <c r="BE26" s="1387" t="s">
        <v>424</v>
      </c>
      <c r="BF26" s="1383"/>
      <c r="BG26" s="1387" t="s">
        <v>425</v>
      </c>
      <c r="BH26" s="1383"/>
      <c r="BI26" s="1383"/>
      <c r="BJ26" s="1383"/>
      <c r="BK26" s="1383"/>
      <c r="BL26" s="1383"/>
      <c r="BM26" s="1383"/>
      <c r="BN26" s="1387" t="s">
        <v>424</v>
      </c>
      <c r="BO26" s="1383"/>
      <c r="BP26" s="1387" t="s">
        <v>425</v>
      </c>
      <c r="BQ26" s="1383"/>
      <c r="BR26" s="1383"/>
      <c r="BS26" s="1383"/>
      <c r="BT26" s="1383"/>
      <c r="BU26" s="1383"/>
      <c r="BV26" s="1383"/>
      <c r="BW26" s="1387" t="s">
        <v>424</v>
      </c>
      <c r="BX26" s="1383"/>
      <c r="BY26" s="1387" t="s">
        <v>425</v>
      </c>
      <c r="BZ26" s="1383"/>
      <c r="CA26" s="1383"/>
      <c r="CB26" s="1383"/>
      <c r="CC26" s="1383"/>
      <c r="CD26" s="1383"/>
      <c r="CE26" s="1383"/>
      <c r="CF26" s="1387" t="s">
        <v>424</v>
      </c>
      <c r="CG26" s="1383"/>
      <c r="CH26" s="1387" t="s">
        <v>425</v>
      </c>
      <c r="CI26" s="1383"/>
      <c r="CJ26" s="1383"/>
      <c r="CK26" s="1383"/>
      <c r="CL26" s="1383"/>
      <c r="CM26" s="1383"/>
      <c r="CN26" s="1383"/>
      <c r="CO26" s="1387" t="s">
        <v>424</v>
      </c>
      <c r="CP26" s="1383"/>
      <c r="CQ26" s="1387" t="s">
        <v>425</v>
      </c>
      <c r="CR26" s="1383"/>
      <c r="CS26" s="1383"/>
      <c r="CT26" s="1383"/>
      <c r="CU26" s="1383"/>
      <c r="CV26" s="1383"/>
      <c r="CW26" s="1383"/>
      <c r="CX26" s="1387" t="s">
        <v>424</v>
      </c>
      <c r="CY26" s="1383"/>
      <c r="CZ26" s="1387" t="s">
        <v>425</v>
      </c>
      <c r="DC26" s="507"/>
      <c r="DD26" s="507"/>
      <c r="DE26" s="507"/>
      <c r="DF26" s="507"/>
      <c r="DG26" s="507"/>
    </row>
    <row customHeight="1" ht="14.25" hidden="1">
      <c r="P27" s="1327"/>
      <c r="AP27" s="1660"/>
      <c r="AQ27" s="1660"/>
      <c r="AR27" s="1660"/>
      <c r="AS27" s="1660"/>
      <c r="AT27" s="1660"/>
      <c r="AU27" s="1660"/>
      <c r="AV27" s="1660"/>
      <c r="AW27" s="1660"/>
      <c r="AX27" s="1660"/>
      <c r="AY27" s="1660"/>
      <c r="AZ27" s="1660"/>
      <c r="BA27" s="1660"/>
      <c r="BB27" s="1660"/>
      <c r="BC27" s="1660"/>
      <c r="BD27" s="1660"/>
      <c r="BE27" s="1660"/>
      <c r="BF27" s="1660"/>
      <c r="BG27" s="1660"/>
      <c r="BH27" s="1660"/>
      <c r="BI27" s="1660"/>
      <c r="BJ27" s="1660"/>
      <c r="BK27" s="1660"/>
      <c r="BL27" s="1660"/>
      <c r="BM27" s="1660"/>
      <c r="BN27" s="1660"/>
      <c r="BO27" s="1660"/>
      <c r="BP27" s="1660"/>
      <c r="BQ27" s="1660"/>
      <c r="BR27" s="1660"/>
      <c r="BS27" s="1660"/>
      <c r="BT27" s="1660"/>
      <c r="BU27" s="1660"/>
      <c r="BV27" s="1660"/>
      <c r="BW27" s="1660"/>
      <c r="BX27" s="1660"/>
      <c r="BY27" s="1660"/>
      <c r="BZ27" s="1660"/>
      <c r="CA27" s="1660"/>
      <c r="CB27" s="1660"/>
      <c r="CC27" s="1660"/>
      <c r="CD27" s="1660"/>
      <c r="CE27" s="1660"/>
      <c r="CF27" s="1660"/>
      <c r="CG27" s="1660"/>
      <c r="CH27" s="1660"/>
      <c r="CI27" s="1660"/>
      <c r="CJ27" s="1660"/>
      <c r="CK27" s="1660"/>
      <c r="CL27" s="1660"/>
      <c r="CM27" s="1660"/>
      <c r="CN27" s="1660"/>
      <c r="CO27" s="1660"/>
      <c r="CP27" s="1660"/>
      <c r="CQ27" s="1660"/>
      <c r="CR27" s="1660"/>
      <c r="CS27" s="1660"/>
      <c r="CT27" s="1660"/>
      <c r="CU27" s="1660"/>
      <c r="CV27" s="1660"/>
      <c r="CW27" s="1660"/>
      <c r="CX27" s="1660"/>
      <c r="CY27" s="1660"/>
      <c r="CZ27" s="1660"/>
    </row>
    <row customHeight="1" ht="14.25" hidden="1">
      <c r="P28" s="1327"/>
      <c r="AP28" s="1660"/>
      <c r="AQ28" s="1660"/>
      <c r="AR28" s="1660"/>
      <c r="AS28" s="1660"/>
      <c r="AT28" s="1660"/>
      <c r="AU28" s="1660"/>
      <c r="AV28" s="1660"/>
      <c r="AW28" s="1660"/>
      <c r="AX28" s="1660"/>
      <c r="AY28" s="1660"/>
      <c r="AZ28" s="1660"/>
      <c r="BA28" s="1660"/>
      <c r="BB28" s="1660"/>
      <c r="BC28" s="1660"/>
      <c r="BD28" s="1660"/>
      <c r="BE28" s="1660"/>
      <c r="BF28" s="1660"/>
      <c r="BG28" s="1660"/>
      <c r="BH28" s="1660"/>
      <c r="BI28" s="1660"/>
      <c r="BJ28" s="1660"/>
      <c r="BK28" s="1660"/>
      <c r="BL28" s="1660"/>
      <c r="BM28" s="1660"/>
      <c r="BN28" s="1660"/>
      <c r="BO28" s="1660"/>
      <c r="BP28" s="1660"/>
      <c r="BQ28" s="1660"/>
      <c r="BR28" s="1660"/>
      <c r="BS28" s="1660"/>
      <c r="BT28" s="1660"/>
      <c r="BU28" s="1660"/>
      <c r="BV28" s="1660"/>
      <c r="BW28" s="1660"/>
      <c r="BX28" s="1660"/>
      <c r="BY28" s="1660"/>
      <c r="BZ28" s="1660"/>
      <c r="CA28" s="1660"/>
      <c r="CB28" s="1660"/>
      <c r="CC28" s="1660"/>
      <c r="CD28" s="1660"/>
      <c r="CE28" s="1660"/>
      <c r="CF28" s="1660"/>
      <c r="CG28" s="1660"/>
      <c r="CH28" s="1660"/>
      <c r="CI28" s="1660"/>
      <c r="CJ28" s="1660"/>
      <c r="CK28" s="1660"/>
      <c r="CL28" s="1660"/>
      <c r="CM28" s="1660"/>
      <c r="CN28" s="1660"/>
      <c r="CO28" s="1660"/>
      <c r="CP28" s="1660"/>
      <c r="CQ28" s="1660"/>
      <c r="CR28" s="1660"/>
      <c r="CS28" s="1660"/>
      <c r="CT28" s="1660"/>
      <c r="CU28" s="1660"/>
      <c r="CV28" s="1660"/>
      <c r="CW28" s="1660"/>
      <c r="CX28" s="1660"/>
      <c r="CY28" s="1660"/>
      <c r="CZ28" s="1660"/>
    </row>
    <row customHeight="1" ht="14.25">
      <c r="R29" s="368"/>
      <c r="S29" s="368"/>
      <c r="T29" s="368"/>
      <c r="U29" s="1292"/>
      <c r="V29" s="353"/>
      <c r="W29" s="353"/>
      <c r="X29" s="505"/>
      <c r="Y29" s="505"/>
      <c r="Z29" s="505"/>
      <c r="AA29" s="505"/>
      <c r="AB29" s="505"/>
      <c r="AC29" s="505"/>
      <c r="AD29" s="505"/>
      <c r="AE29" s="505"/>
      <c r="AF29" s="505"/>
      <c r="AG29" s="505"/>
      <c r="AH29" s="505"/>
      <c r="AI29" s="505"/>
      <c r="AJ29" s="505"/>
      <c r="AK29" s="505"/>
      <c r="AL29" s="505"/>
      <c r="AM29" s="505"/>
      <c r="AN29" s="505"/>
      <c r="AO29" s="505"/>
      <c r="AP29" s="1660"/>
      <c r="AQ29" s="1660"/>
      <c r="AR29" s="1660"/>
      <c r="AS29" s="1660"/>
      <c r="AT29" s="1660"/>
      <c r="AU29" s="1660"/>
      <c r="AV29" s="1660"/>
      <c r="AW29" s="1660"/>
      <c r="AX29" s="1660"/>
      <c r="AY29" s="1660"/>
      <c r="AZ29" s="1660"/>
      <c r="BA29" s="1660"/>
      <c r="BB29" s="1660"/>
      <c r="BC29" s="1660"/>
      <c r="BD29" s="1660"/>
      <c r="BE29" s="1660"/>
      <c r="BF29" s="1660"/>
      <c r="BG29" s="1660"/>
      <c r="BH29" s="1660"/>
      <c r="BI29" s="1660"/>
      <c r="BJ29" s="1660"/>
      <c r="BK29" s="1660"/>
      <c r="BL29" s="1660"/>
      <c r="BM29" s="1660"/>
      <c r="BN29" s="1660"/>
      <c r="BO29" s="1660"/>
      <c r="BP29" s="1660"/>
      <c r="BQ29" s="1660"/>
      <c r="BR29" s="1660"/>
      <c r="BS29" s="1660"/>
      <c r="BT29" s="1660"/>
      <c r="BU29" s="1660"/>
      <c r="BV29" s="1660"/>
      <c r="BW29" s="1660"/>
      <c r="BX29" s="1660"/>
      <c r="BY29" s="1660"/>
      <c r="BZ29" s="1660"/>
      <c r="CA29" s="1660"/>
      <c r="CB29" s="1660"/>
      <c r="CC29" s="1660"/>
      <c r="CD29" s="1660"/>
      <c r="CE29" s="1660"/>
      <c r="CF29" s="1660"/>
      <c r="CG29" s="1660"/>
      <c r="CH29" s="1660"/>
      <c r="CI29" s="1660"/>
      <c r="CJ29" s="1660"/>
      <c r="CK29" s="1660"/>
      <c r="CL29" s="1660"/>
      <c r="CM29" s="1660"/>
      <c r="CN29" s="1660"/>
      <c r="CO29" s="1660"/>
      <c r="CP29" s="1660"/>
      <c r="CQ29" s="1660"/>
      <c r="CR29" s="1660"/>
      <c r="CS29" s="1660"/>
      <c r="CT29" s="1660"/>
      <c r="CU29" s="1660"/>
      <c r="CV29" s="1660"/>
      <c r="CW29" s="1660"/>
      <c r="CX29" s="1660"/>
      <c r="CY29" s="1660"/>
      <c r="CZ29" s="1660"/>
    </row>
    <row customHeight="1" ht="54">
      <c r="R30" s="368"/>
      <c r="S30" s="368"/>
      <c r="T30" s="368"/>
      <c r="U30" s="2122"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22"/>
      <c r="W30" s="2122"/>
      <c r="X30" s="2122"/>
      <c r="Y30" s="2122"/>
      <c r="Z30" s="2122"/>
      <c r="AA30" s="2122"/>
      <c r="AB30" s="2122"/>
      <c r="AC30" s="2122"/>
      <c r="AD30" s="2122"/>
      <c r="AE30" s="2122"/>
      <c r="AF30" s="2122"/>
      <c r="AG30" s="2122"/>
      <c r="AH30" s="2122"/>
      <c r="AI30" s="2122"/>
      <c r="AJ30" s="2122"/>
      <c r="AK30" s="2122"/>
      <c r="AL30" s="2122"/>
      <c r="AM30" s="2122"/>
      <c r="AN30" s="2122"/>
      <c r="AO30" s="1248"/>
      <c r="AP30" s="2122"/>
      <c r="AQ30" s="2122"/>
      <c r="AR30" s="2122"/>
      <c r="AS30" s="2122"/>
      <c r="AT30" s="2122"/>
      <c r="AU30" s="2122"/>
      <c r="AV30" s="2122"/>
      <c r="AW30" s="2122"/>
      <c r="AX30" s="2122"/>
      <c r="AY30" s="2122"/>
      <c r="AZ30" s="2122"/>
      <c r="BA30" s="2122"/>
      <c r="BB30" s="2122"/>
      <c r="BC30" s="2122"/>
      <c r="BD30" s="2122"/>
      <c r="BE30" s="2122"/>
      <c r="BF30" s="2122"/>
      <c r="BG30" s="2122"/>
      <c r="BH30" s="2122"/>
      <c r="BI30" s="2122"/>
      <c r="BJ30" s="2122"/>
      <c r="BK30" s="2122"/>
      <c r="BL30" s="2122"/>
      <c r="BM30" s="2122"/>
      <c r="BN30" s="2122"/>
      <c r="BO30" s="2122"/>
      <c r="BP30" s="2122"/>
      <c r="BQ30" s="2122"/>
      <c r="BR30" s="2122"/>
      <c r="BS30" s="2122"/>
      <c r="BT30" s="2122"/>
      <c r="BU30" s="2122"/>
      <c r="BV30" s="2122"/>
      <c r="BW30" s="2122"/>
      <c r="BX30" s="2122"/>
      <c r="BY30" s="2122"/>
      <c r="BZ30" s="2122"/>
      <c r="CA30" s="2122"/>
      <c r="CB30" s="2122"/>
      <c r="CC30" s="2122"/>
      <c r="CD30" s="2122"/>
      <c r="CE30" s="2122"/>
      <c r="CF30" s="2122"/>
      <c r="CG30" s="2122"/>
      <c r="CH30" s="2122"/>
      <c r="CI30" s="2122"/>
      <c r="CJ30" s="2122"/>
      <c r="CK30" s="2122"/>
      <c r="CL30" s="2122"/>
      <c r="CM30" s="2122"/>
      <c r="CN30" s="2122"/>
      <c r="CO30" s="2122"/>
      <c r="CP30" s="2122"/>
      <c r="CQ30" s="2122"/>
      <c r="CR30" s="2122"/>
      <c r="CS30" s="2122"/>
      <c r="CT30" s="2122"/>
      <c r="CU30" s="2122"/>
      <c r="CV30" s="2122"/>
      <c r="CW30" s="2122"/>
      <c r="CX30" s="2122"/>
      <c r="CY30" s="2122"/>
      <c r="CZ30" s="2122"/>
    </row>
    <row customHeight="1" ht="14.25">
      <c r="R31" s="368"/>
      <c r="S31" s="368"/>
      <c r="T31" s="368"/>
      <c r="U31" s="2123" t="str">
        <f>IF(org=0,"Не определено",org)</f>
        <v>ООО "ПРОМ ИМПУЛЬС"</v>
      </c>
      <c r="V31" s="2123"/>
      <c r="W31" s="2123"/>
      <c r="X31" s="2123"/>
      <c r="Y31" s="2123"/>
      <c r="Z31" s="2123"/>
      <c r="AA31" s="2123"/>
      <c r="AB31" s="2123"/>
      <c r="AC31" s="2123"/>
      <c r="AD31" s="2123"/>
      <c r="AE31" s="2123"/>
      <c r="AF31" s="2123"/>
      <c r="AG31" s="2123"/>
      <c r="AH31" s="2123"/>
      <c r="AI31" s="2123"/>
      <c r="AJ31" s="2123"/>
      <c r="AK31" s="2123"/>
      <c r="AL31" s="2123"/>
      <c r="AM31" s="2123"/>
      <c r="AN31" s="2123"/>
      <c r="AO31" s="1248"/>
      <c r="AP31" s="2123"/>
      <c r="AQ31" s="2123"/>
      <c r="AR31" s="2123"/>
      <c r="AS31" s="2123"/>
      <c r="AT31" s="2123"/>
      <c r="AU31" s="2123"/>
      <c r="AV31" s="2123"/>
      <c r="AW31" s="2123"/>
      <c r="AX31" s="2123"/>
      <c r="AY31" s="2123"/>
      <c r="AZ31" s="2123"/>
      <c r="BA31" s="2123"/>
      <c r="BB31" s="2123"/>
      <c r="BC31" s="2123"/>
      <c r="BD31" s="2123"/>
      <c r="BE31" s="2123"/>
      <c r="BF31" s="2123"/>
      <c r="BG31" s="2123"/>
      <c r="BH31" s="2123"/>
      <c r="BI31" s="2123"/>
      <c r="BJ31" s="2123"/>
      <c r="BK31" s="2123"/>
      <c r="BL31" s="2123"/>
      <c r="BM31" s="2123"/>
      <c r="BN31" s="2123"/>
      <c r="BO31" s="2123"/>
      <c r="BP31" s="2123"/>
      <c r="BQ31" s="2123"/>
      <c r="BR31" s="2123"/>
      <c r="BS31" s="2123"/>
      <c r="BT31" s="2123"/>
      <c r="BU31" s="2123"/>
      <c r="BV31" s="2123"/>
      <c r="BW31" s="2123"/>
      <c r="BX31" s="2123"/>
      <c r="BY31" s="2123"/>
      <c r="BZ31" s="2123"/>
      <c r="CA31" s="2123"/>
      <c r="CB31" s="2123"/>
      <c r="CC31" s="2123"/>
      <c r="CD31" s="2123"/>
      <c r="CE31" s="2123"/>
      <c r="CF31" s="2123"/>
      <c r="CG31" s="2123"/>
      <c r="CH31" s="2123"/>
      <c r="CI31" s="2123"/>
      <c r="CJ31" s="2123"/>
      <c r="CK31" s="2123"/>
      <c r="CL31" s="2123"/>
      <c r="CM31" s="2123"/>
      <c r="CN31" s="2123"/>
      <c r="CO31" s="2123"/>
      <c r="CP31" s="2123"/>
      <c r="CQ31" s="2123"/>
      <c r="CR31" s="2123"/>
      <c r="CS31" s="2123"/>
      <c r="CT31" s="2123"/>
      <c r="CU31" s="2123"/>
      <c r="CV31" s="2123"/>
      <c r="CW31" s="2123"/>
      <c r="CX31" s="2123"/>
      <c r="CY31" s="2123"/>
      <c r="CZ31" s="2123"/>
    </row>
    <row customHeight="1" ht="14.25">
      <c r="R32" s="368"/>
      <c r="S32" s="368"/>
      <c r="T32" s="368"/>
      <c r="U32" s="1292"/>
      <c r="V32" s="353"/>
      <c r="W32" s="353"/>
      <c r="X32" s="308"/>
      <c r="Y32" s="308"/>
      <c r="Z32" s="308"/>
      <c r="AA32" s="308"/>
      <c r="AB32" s="308"/>
      <c r="AC32" s="308"/>
      <c r="AD32" s="308"/>
      <c r="AE32" s="308"/>
      <c r="AF32" s="308"/>
      <c r="AG32" s="308"/>
      <c r="AH32" s="308"/>
      <c r="AI32" s="308"/>
      <c r="AJ32" s="308"/>
      <c r="AK32" s="308"/>
      <c r="AL32" s="308"/>
      <c r="AM32" s="308"/>
      <c r="AN32" s="308"/>
      <c r="AO32" s="308"/>
      <c r="AP32" s="308"/>
      <c r="AQ32" s="308"/>
      <c r="AR32" s="308"/>
      <c r="AS32" s="308"/>
      <c r="AT32" s="308"/>
      <c r="AU32" s="308"/>
      <c r="AV32" s="308"/>
      <c r="AW32" s="308"/>
      <c r="AX32" s="308"/>
      <c r="AY32" s="308"/>
      <c r="AZ32" s="308"/>
      <c r="BA32" s="308"/>
      <c r="BB32" s="308"/>
      <c r="BC32" s="308"/>
      <c r="BD32" s="308"/>
      <c r="BE32" s="308"/>
      <c r="BF32" s="308"/>
      <c r="BG32" s="308"/>
      <c r="BH32" s="308"/>
      <c r="BI32" s="308"/>
      <c r="BJ32" s="308"/>
      <c r="BK32" s="308"/>
      <c r="BL32" s="308"/>
      <c r="BM32" s="308"/>
      <c r="BN32" s="308"/>
      <c r="BO32" s="308"/>
      <c r="BP32" s="308"/>
      <c r="BQ32" s="308"/>
      <c r="BR32" s="308"/>
      <c r="BS32" s="308"/>
      <c r="BT32" s="308"/>
      <c r="BU32" s="308"/>
      <c r="BV32" s="308"/>
      <c r="BW32" s="308"/>
      <c r="BX32" s="308"/>
      <c r="BY32" s="308"/>
      <c r="BZ32" s="308"/>
      <c r="CA32" s="308"/>
      <c r="CB32" s="308"/>
      <c r="CC32" s="308"/>
      <c r="CD32" s="308"/>
      <c r="CE32" s="308"/>
      <c r="CF32" s="308"/>
      <c r="CG32" s="308"/>
      <c r="CH32" s="308"/>
      <c r="CI32" s="308"/>
      <c r="CJ32" s="308"/>
      <c r="CK32" s="308"/>
      <c r="CL32" s="308"/>
      <c r="CM32" s="308"/>
      <c r="CN32" s="308"/>
      <c r="CO32" s="308"/>
      <c r="CP32" s="308"/>
      <c r="CQ32" s="308"/>
      <c r="CR32" s="308"/>
      <c r="CS32" s="308"/>
      <c r="CT32" s="308"/>
      <c r="CU32" s="308"/>
      <c r="CV32" s="308"/>
      <c r="CW32" s="308"/>
      <c r="CX32" s="308"/>
      <c r="CY32" s="308"/>
      <c r="CZ32" s="308"/>
      <c r="DA32" s="505"/>
    </row>
    <row s="1877" customFormat="1" customHeight="1" ht="25.5">
      <c r="A33" s="1254"/>
      <c r="B33" s="1254"/>
      <c r="C33" s="1254"/>
      <c r="D33" s="1254"/>
      <c r="E33" s="1254"/>
      <c r="F33" s="1254"/>
      <c r="G33" s="1254"/>
      <c r="H33" s="1254"/>
      <c r="I33" s="1254"/>
      <c r="J33" s="1254"/>
      <c r="K33" s="1254"/>
      <c r="L33" s="1254"/>
      <c r="M33" s="1397"/>
      <c r="N33" s="1254"/>
      <c r="O33" s="1254"/>
      <c r="P33" s="1254"/>
      <c r="U33" s="2080" t="s">
        <v>38</v>
      </c>
      <c r="V33" s="2080"/>
      <c r="W33" s="1389"/>
      <c r="X33" s="2082" t="str">
        <f>IF(TITLE_NAME_OR_PR_CHANGE="",IF(TITLE_NAME_OR_PR="","",TITLE_NAME_OR_PR),TITLE_NAME_OR_PR_CHANGE)</f>
        <v>Комитет по тарифам Санкт-Петербурга</v>
      </c>
      <c r="Y33" s="2082"/>
      <c r="Z33" s="2082"/>
      <c r="AA33" s="2082"/>
      <c r="AB33" s="2082"/>
      <c r="AC33" s="2082"/>
      <c r="AD33" s="2082"/>
      <c r="AE33" s="2082"/>
      <c r="AF33" s="314"/>
      <c r="AG33" s="2082" t="str">
        <f>IF(TITLE_NAME_OR_PR_CHANGE="",IF(TITLE_NAME_OR_PR="","",TITLE_NAME_OR_PR),TITLE_NAME_OR_PR_CHANGE)</f>
        <v>Комитет по тарифам Санкт-Петербурга</v>
      </c>
      <c r="AH33" s="2082"/>
      <c r="AI33" s="2082"/>
      <c r="AJ33" s="2082"/>
      <c r="AK33" s="2082"/>
      <c r="AL33" s="2082"/>
      <c r="AM33" s="2082"/>
      <c r="AN33" s="2082"/>
      <c r="AO33" s="314"/>
      <c r="AP33" s="2082" t="str">
        <f>IF(TITLE_NAME_OR_PR_CHANGE="",IF(TITLE_NAME_OR_PR="","",TITLE_NAME_OR_PR),TITLE_NAME_OR_PR_CHANGE)</f>
        <v>Комитет по тарифам Санкт-Петербурга</v>
      </c>
      <c r="AQ33" s="2082"/>
      <c r="AR33" s="2082"/>
      <c r="AS33" s="2082"/>
      <c r="AT33" s="2082"/>
      <c r="AU33" s="2082"/>
      <c r="AV33" s="2082"/>
      <c r="AW33" s="2082"/>
      <c r="AX33" s="1660"/>
      <c r="AY33" s="2082" t="str">
        <f>IF(TITLE_NAME_OR_PR_CHANGE="",IF(TITLE_NAME_OR_PR="","",TITLE_NAME_OR_PR),TITLE_NAME_OR_PR_CHANGE)</f>
        <v>Комитет по тарифам Санкт-Петербурга</v>
      </c>
      <c r="AZ33" s="2082"/>
      <c r="BA33" s="2082"/>
      <c r="BB33" s="2082"/>
      <c r="BC33" s="2082"/>
      <c r="BD33" s="2082"/>
      <c r="BE33" s="2082"/>
      <c r="BF33" s="2082"/>
      <c r="BG33" s="1660"/>
      <c r="BH33" s="2082" t="str">
        <f>IF(TITLE_NAME_OR_PR_CHANGE="",IF(TITLE_NAME_OR_PR="","",TITLE_NAME_OR_PR),TITLE_NAME_OR_PR_CHANGE)</f>
        <v>Комитет по тарифам Санкт-Петербурга</v>
      </c>
      <c r="BI33" s="2082"/>
      <c r="BJ33" s="2082"/>
      <c r="BK33" s="2082"/>
      <c r="BL33" s="2082"/>
      <c r="BM33" s="2082"/>
      <c r="BN33" s="2082"/>
      <c r="BO33" s="2082"/>
      <c r="BP33" s="1660"/>
      <c r="BQ33" s="2082" t="str">
        <f>IF(TITLE_NAME_OR_PR_CHANGE="",IF(TITLE_NAME_OR_PR="","",TITLE_NAME_OR_PR),TITLE_NAME_OR_PR_CHANGE)</f>
        <v>Комитет по тарифам Санкт-Петербурга</v>
      </c>
      <c r="BR33" s="2082"/>
      <c r="BS33" s="2082"/>
      <c r="BT33" s="2082"/>
      <c r="BU33" s="2082"/>
      <c r="BV33" s="2082"/>
      <c r="BW33" s="2082"/>
      <c r="BX33" s="2082"/>
      <c r="BY33" s="1660"/>
      <c r="BZ33" s="2082" t="str">
        <f>IF(TITLE_NAME_OR_PR_CHANGE="",IF(TITLE_NAME_OR_PR="","",TITLE_NAME_OR_PR),TITLE_NAME_OR_PR_CHANGE)</f>
        <v>Комитет по тарифам Санкт-Петербурга</v>
      </c>
      <c r="CA33" s="2082"/>
      <c r="CB33" s="2082"/>
      <c r="CC33" s="2082"/>
      <c r="CD33" s="2082"/>
      <c r="CE33" s="2082"/>
      <c r="CF33" s="2082"/>
      <c r="CG33" s="2082"/>
      <c r="CH33" s="1660"/>
      <c r="CI33" s="2082" t="str">
        <f>IF(TITLE_NAME_OR_PR_CHANGE="",IF(TITLE_NAME_OR_PR="","",TITLE_NAME_OR_PR),TITLE_NAME_OR_PR_CHANGE)</f>
        <v>Комитет по тарифам Санкт-Петербурга</v>
      </c>
      <c r="CJ33" s="2082"/>
      <c r="CK33" s="2082"/>
      <c r="CL33" s="2082"/>
      <c r="CM33" s="2082"/>
      <c r="CN33" s="2082"/>
      <c r="CO33" s="2082"/>
      <c r="CP33" s="2082"/>
      <c r="CQ33" s="1660"/>
      <c r="CR33" s="2082" t="str">
        <f>IF(TITLE_NAME_OR_PR_CHANGE="",IF(TITLE_NAME_OR_PR="","",TITLE_NAME_OR_PR),TITLE_NAME_OR_PR_CHANGE)</f>
        <v>Комитет по тарифам Санкт-Петербурга</v>
      </c>
      <c r="CS33" s="2082"/>
      <c r="CT33" s="2082"/>
      <c r="CU33" s="2082"/>
      <c r="CV33" s="2082"/>
      <c r="CW33" s="2082"/>
      <c r="CX33" s="2082"/>
      <c r="CY33" s="2082"/>
      <c r="CZ33" s="1660"/>
      <c r="DA33" s="314"/>
      <c r="DB33" s="261"/>
      <c r="DC33" s="360"/>
      <c r="DD33" s="360"/>
      <c r="DE33" s="360"/>
      <c r="DF33" s="360"/>
      <c r="DG33" s="360"/>
    </row>
    <row s="1877" customFormat="1" customHeight="1" ht="18.75">
      <c r="A34" s="1254"/>
      <c r="B34" s="1254"/>
      <c r="C34" s="1254"/>
      <c r="D34" s="1254"/>
      <c r="E34" s="1254"/>
      <c r="F34" s="1254"/>
      <c r="G34" s="1254"/>
      <c r="H34" s="1254"/>
      <c r="I34" s="1254"/>
      <c r="J34" s="1254"/>
      <c r="K34" s="1254"/>
      <c r="L34" s="1254"/>
      <c r="M34" s="1397"/>
      <c r="N34" s="1254"/>
      <c r="O34" s="1254"/>
      <c r="P34" s="1254"/>
      <c r="U34" s="2080" t="s">
        <v>427</v>
      </c>
      <c r="V34" s="2080"/>
      <c r="W34" s="1389"/>
      <c r="X34" s="2081" t="str">
        <f>IF(TITLE_DATE_PR_CHANGE="",IF(TITLE_DATE_PR="","",TITLE_DATE_PR),TITLE_DATE_PR_CHANGE)</f>
        <v>45268.58207175926</v>
      </c>
      <c r="Y34" s="2081"/>
      <c r="Z34" s="2081"/>
      <c r="AA34" s="2081"/>
      <c r="AB34" s="2081"/>
      <c r="AC34" s="2081"/>
      <c r="AD34" s="2081"/>
      <c r="AE34" s="2081"/>
      <c r="AF34" s="314"/>
      <c r="AG34" s="2081" t="str">
        <f>IF(TITLE_DATE_PR_CHANGE="",IF(TITLE_DATE_PR="","",TITLE_DATE_PR),TITLE_DATE_PR_CHANGE)</f>
        <v>45268.58207175926</v>
      </c>
      <c r="AH34" s="2081"/>
      <c r="AI34" s="2081"/>
      <c r="AJ34" s="2081"/>
      <c r="AK34" s="2081"/>
      <c r="AL34" s="2081"/>
      <c r="AM34" s="2081"/>
      <c r="AN34" s="2081"/>
      <c r="AO34" s="314"/>
      <c r="AP34" s="2081" t="str">
        <f>IF(TITLE_DATE_PR_CHANGE="",IF(TITLE_DATE_PR="","",TITLE_DATE_PR),TITLE_DATE_PR_CHANGE)</f>
        <v>45268.58207175926</v>
      </c>
      <c r="AQ34" s="2081"/>
      <c r="AR34" s="2081"/>
      <c r="AS34" s="2081"/>
      <c r="AT34" s="2081"/>
      <c r="AU34" s="2081"/>
      <c r="AV34" s="2081"/>
      <c r="AW34" s="2081"/>
      <c r="AX34" s="1660"/>
      <c r="AY34" s="2081" t="str">
        <f>IF(TITLE_DATE_PR_CHANGE="",IF(TITLE_DATE_PR="","",TITLE_DATE_PR),TITLE_DATE_PR_CHANGE)</f>
        <v>45268.58207175926</v>
      </c>
      <c r="AZ34" s="2081"/>
      <c r="BA34" s="2081"/>
      <c r="BB34" s="2081"/>
      <c r="BC34" s="2081"/>
      <c r="BD34" s="2081"/>
      <c r="BE34" s="2081"/>
      <c r="BF34" s="2081"/>
      <c r="BG34" s="1660"/>
      <c r="BH34" s="2081" t="str">
        <f>IF(TITLE_DATE_PR_CHANGE="",IF(TITLE_DATE_PR="","",TITLE_DATE_PR),TITLE_DATE_PR_CHANGE)</f>
        <v>45268.58207175926</v>
      </c>
      <c r="BI34" s="2081"/>
      <c r="BJ34" s="2081"/>
      <c r="BK34" s="2081"/>
      <c r="BL34" s="2081"/>
      <c r="BM34" s="2081"/>
      <c r="BN34" s="2081"/>
      <c r="BO34" s="2081"/>
      <c r="BP34" s="1660"/>
      <c r="BQ34" s="2081" t="str">
        <f>IF(TITLE_DATE_PR_CHANGE="",IF(TITLE_DATE_PR="","",TITLE_DATE_PR),TITLE_DATE_PR_CHANGE)</f>
        <v>45268.58207175926</v>
      </c>
      <c r="BR34" s="2081"/>
      <c r="BS34" s="2081"/>
      <c r="BT34" s="2081"/>
      <c r="BU34" s="2081"/>
      <c r="BV34" s="2081"/>
      <c r="BW34" s="2081"/>
      <c r="BX34" s="2081"/>
      <c r="BY34" s="1660"/>
      <c r="BZ34" s="2081" t="str">
        <f>IF(TITLE_DATE_PR_CHANGE="",IF(TITLE_DATE_PR="","",TITLE_DATE_PR),TITLE_DATE_PR_CHANGE)</f>
        <v>45268.58207175926</v>
      </c>
      <c r="CA34" s="2081"/>
      <c r="CB34" s="2081"/>
      <c r="CC34" s="2081"/>
      <c r="CD34" s="2081"/>
      <c r="CE34" s="2081"/>
      <c r="CF34" s="2081"/>
      <c r="CG34" s="2081"/>
      <c r="CH34" s="1660"/>
      <c r="CI34" s="2081" t="str">
        <f>IF(TITLE_DATE_PR_CHANGE="",IF(TITLE_DATE_PR="","",TITLE_DATE_PR),TITLE_DATE_PR_CHANGE)</f>
        <v>45268.58207175926</v>
      </c>
      <c r="CJ34" s="2081"/>
      <c r="CK34" s="2081"/>
      <c r="CL34" s="2081"/>
      <c r="CM34" s="2081"/>
      <c r="CN34" s="2081"/>
      <c r="CO34" s="2081"/>
      <c r="CP34" s="2081"/>
      <c r="CQ34" s="1660"/>
      <c r="CR34" s="2081" t="str">
        <f>IF(TITLE_DATE_PR_CHANGE="",IF(TITLE_DATE_PR="","",TITLE_DATE_PR),TITLE_DATE_PR_CHANGE)</f>
        <v>45268.58207175926</v>
      </c>
      <c r="CS34" s="2081"/>
      <c r="CT34" s="2081"/>
      <c r="CU34" s="2081"/>
      <c r="CV34" s="2081"/>
      <c r="CW34" s="2081"/>
      <c r="CX34" s="2081"/>
      <c r="CY34" s="2081"/>
      <c r="CZ34" s="1660"/>
      <c r="DA34" s="314"/>
      <c r="DB34" s="261"/>
      <c r="DC34" s="360"/>
      <c r="DD34" s="360"/>
      <c r="DE34" s="360"/>
      <c r="DF34" s="360"/>
      <c r="DG34" s="360"/>
    </row>
    <row s="1877" customFormat="1" customHeight="1" ht="18.75">
      <c r="A35" s="1254"/>
      <c r="B35" s="1254"/>
      <c r="C35" s="1254"/>
      <c r="D35" s="1254"/>
      <c r="E35" s="1254"/>
      <c r="F35" s="1254"/>
      <c r="G35" s="1254"/>
      <c r="H35" s="1254"/>
      <c r="I35" s="1254"/>
      <c r="J35" s="1254"/>
      <c r="K35" s="1254"/>
      <c r="L35" s="1254"/>
      <c r="M35" s="1397"/>
      <c r="N35" s="1254"/>
      <c r="O35" s="1254"/>
      <c r="P35" s="1254"/>
      <c r="U35" s="2080" t="s">
        <v>428</v>
      </c>
      <c r="V35" s="2080"/>
      <c r="W35" s="1389"/>
      <c r="X35" s="2082" t="str">
        <f>IF(TITLE_NUMBER_PR_CHANGE="",IF(TITLE_NUMBER_PR="","",TITLE_NUMBER_PR),TITLE_NUMBER_PR_CHANGE)</f>
        <v>237-р</v>
      </c>
      <c r="Y35" s="2082"/>
      <c r="Z35" s="2082"/>
      <c r="AA35" s="2082"/>
      <c r="AB35" s="2082"/>
      <c r="AC35" s="2082"/>
      <c r="AD35" s="2082"/>
      <c r="AE35" s="2082"/>
      <c r="AF35" s="314"/>
      <c r="AG35" s="2082" t="str">
        <f>IF(TITLE_NUMBER_PR_CHANGE="",IF(TITLE_NUMBER_PR="","",TITLE_NUMBER_PR),TITLE_NUMBER_PR_CHANGE)</f>
        <v>237-р</v>
      </c>
      <c r="AH35" s="2082"/>
      <c r="AI35" s="2082"/>
      <c r="AJ35" s="2082"/>
      <c r="AK35" s="2082"/>
      <c r="AL35" s="2082"/>
      <c r="AM35" s="2082"/>
      <c r="AN35" s="2082"/>
      <c r="AO35" s="314"/>
      <c r="AP35" s="2082" t="str">
        <f>IF(TITLE_NUMBER_PR_CHANGE="",IF(TITLE_NUMBER_PR="","",TITLE_NUMBER_PR),TITLE_NUMBER_PR_CHANGE)</f>
        <v>237-р</v>
      </c>
      <c r="AQ35" s="2082"/>
      <c r="AR35" s="2082"/>
      <c r="AS35" s="2082"/>
      <c r="AT35" s="2082"/>
      <c r="AU35" s="2082"/>
      <c r="AV35" s="2082"/>
      <c r="AW35" s="2082"/>
      <c r="AX35" s="1660"/>
      <c r="AY35" s="2082" t="str">
        <f>IF(TITLE_NUMBER_PR_CHANGE="",IF(TITLE_NUMBER_PR="","",TITLE_NUMBER_PR),TITLE_NUMBER_PR_CHANGE)</f>
        <v>237-р</v>
      </c>
      <c r="AZ35" s="2082"/>
      <c r="BA35" s="2082"/>
      <c r="BB35" s="2082"/>
      <c r="BC35" s="2082"/>
      <c r="BD35" s="2082"/>
      <c r="BE35" s="2082"/>
      <c r="BF35" s="2082"/>
      <c r="BG35" s="1660"/>
      <c r="BH35" s="2082" t="str">
        <f>IF(TITLE_NUMBER_PR_CHANGE="",IF(TITLE_NUMBER_PR="","",TITLE_NUMBER_PR),TITLE_NUMBER_PR_CHANGE)</f>
        <v>237-р</v>
      </c>
      <c r="BI35" s="2082"/>
      <c r="BJ35" s="2082"/>
      <c r="BK35" s="2082"/>
      <c r="BL35" s="2082"/>
      <c r="BM35" s="2082"/>
      <c r="BN35" s="2082"/>
      <c r="BO35" s="2082"/>
      <c r="BP35" s="1660"/>
      <c r="BQ35" s="2082" t="str">
        <f>IF(TITLE_NUMBER_PR_CHANGE="",IF(TITLE_NUMBER_PR="","",TITLE_NUMBER_PR),TITLE_NUMBER_PR_CHANGE)</f>
        <v>237-р</v>
      </c>
      <c r="BR35" s="2082"/>
      <c r="BS35" s="2082"/>
      <c r="BT35" s="2082"/>
      <c r="BU35" s="2082"/>
      <c r="BV35" s="2082"/>
      <c r="BW35" s="2082"/>
      <c r="BX35" s="2082"/>
      <c r="BY35" s="1660"/>
      <c r="BZ35" s="2082" t="str">
        <f>IF(TITLE_NUMBER_PR_CHANGE="",IF(TITLE_NUMBER_PR="","",TITLE_NUMBER_PR),TITLE_NUMBER_PR_CHANGE)</f>
        <v>237-р</v>
      </c>
      <c r="CA35" s="2082"/>
      <c r="CB35" s="2082"/>
      <c r="CC35" s="2082"/>
      <c r="CD35" s="2082"/>
      <c r="CE35" s="2082"/>
      <c r="CF35" s="2082"/>
      <c r="CG35" s="2082"/>
      <c r="CH35" s="1660"/>
      <c r="CI35" s="2082" t="str">
        <f>IF(TITLE_NUMBER_PR_CHANGE="",IF(TITLE_NUMBER_PR="","",TITLE_NUMBER_PR),TITLE_NUMBER_PR_CHANGE)</f>
        <v>237-р</v>
      </c>
      <c r="CJ35" s="2082"/>
      <c r="CK35" s="2082"/>
      <c r="CL35" s="2082"/>
      <c r="CM35" s="2082"/>
      <c r="CN35" s="2082"/>
      <c r="CO35" s="2082"/>
      <c r="CP35" s="2082"/>
      <c r="CQ35" s="1660"/>
      <c r="CR35" s="2082" t="str">
        <f>IF(TITLE_NUMBER_PR_CHANGE="",IF(TITLE_NUMBER_PR="","",TITLE_NUMBER_PR),TITLE_NUMBER_PR_CHANGE)</f>
        <v>237-р</v>
      </c>
      <c r="CS35" s="2082"/>
      <c r="CT35" s="2082"/>
      <c r="CU35" s="2082"/>
      <c r="CV35" s="2082"/>
      <c r="CW35" s="2082"/>
      <c r="CX35" s="2082"/>
      <c r="CY35" s="2082"/>
      <c r="CZ35" s="1660"/>
      <c r="DA35" s="314"/>
      <c r="DB35" s="261"/>
      <c r="DC35" s="360"/>
      <c r="DD35" s="360"/>
      <c r="DE35" s="360"/>
      <c r="DF35" s="360"/>
      <c r="DG35" s="360"/>
    </row>
    <row s="1877" customFormat="1" customHeight="1" ht="18.75">
      <c r="A36" s="1254"/>
      <c r="B36" s="1254"/>
      <c r="C36" s="1254"/>
      <c r="D36" s="1254"/>
      <c r="E36" s="1254"/>
      <c r="F36" s="1254"/>
      <c r="G36" s="1254"/>
      <c r="H36" s="1254"/>
      <c r="I36" s="1254"/>
      <c r="J36" s="1254"/>
      <c r="K36" s="1254"/>
      <c r="L36" s="1254"/>
      <c r="M36" s="1397"/>
      <c r="N36" s="1254"/>
      <c r="O36" s="1254"/>
      <c r="P36" s="1254"/>
      <c r="U36" s="2080" t="s">
        <v>40</v>
      </c>
      <c r="V36" s="2080"/>
      <c r="W36" s="1389"/>
      <c r="X36" s="2082" t="str">
        <f>IF(TITLE_IST_PUB_CHANGE="",IF(TITLE_IST_PUB="","",TITLE_IST_PUB),TITLE_IST_PUB_CHANGE)</f>
        <v>https://www.gov.spb.ru/gov/otrasl/energ_kom/inform_/standarty-raskrytiya-informacii-komitetom/teplo/</v>
      </c>
      <c r="Y36" s="2082"/>
      <c r="Z36" s="2082"/>
      <c r="AA36" s="2082"/>
      <c r="AB36" s="2082"/>
      <c r="AC36" s="2082"/>
      <c r="AD36" s="2082"/>
      <c r="AE36" s="2082"/>
      <c r="AF36" s="314"/>
      <c r="AG36" s="2082" t="str">
        <f>IF(TITLE_IST_PUB_CHANGE="",IF(TITLE_IST_PUB="","",TITLE_IST_PUB),TITLE_IST_PUB_CHANGE)</f>
        <v>https://www.gov.spb.ru/gov/otrasl/energ_kom/inform_/standarty-raskrytiya-informacii-komitetom/teplo/</v>
      </c>
      <c r="AH36" s="2082"/>
      <c r="AI36" s="2082"/>
      <c r="AJ36" s="2082"/>
      <c r="AK36" s="2082"/>
      <c r="AL36" s="2082"/>
      <c r="AM36" s="2082"/>
      <c r="AN36" s="2082"/>
      <c r="AO36" s="314"/>
      <c r="AP36" s="2082" t="str">
        <f>IF(TITLE_IST_PUB_CHANGE="",IF(TITLE_IST_PUB="","",TITLE_IST_PUB),TITLE_IST_PUB_CHANGE)</f>
        <v>https://www.gov.spb.ru/gov/otrasl/energ_kom/inform_/standarty-raskrytiya-informacii-komitetom/teplo/</v>
      </c>
      <c r="AQ36" s="2082"/>
      <c r="AR36" s="2082"/>
      <c r="AS36" s="2082"/>
      <c r="AT36" s="2082"/>
      <c r="AU36" s="2082"/>
      <c r="AV36" s="2082"/>
      <c r="AW36" s="2082"/>
      <c r="AX36" s="1660"/>
      <c r="AY36" s="2082" t="str">
        <f>IF(TITLE_IST_PUB_CHANGE="",IF(TITLE_IST_PUB="","",TITLE_IST_PUB),TITLE_IST_PUB_CHANGE)</f>
        <v>https://www.gov.spb.ru/gov/otrasl/energ_kom/inform_/standarty-raskrytiya-informacii-komitetom/teplo/</v>
      </c>
      <c r="AZ36" s="2082"/>
      <c r="BA36" s="2082"/>
      <c r="BB36" s="2082"/>
      <c r="BC36" s="2082"/>
      <c r="BD36" s="2082"/>
      <c r="BE36" s="2082"/>
      <c r="BF36" s="2082"/>
      <c r="BG36" s="1660"/>
      <c r="BH36" s="2082" t="str">
        <f>IF(TITLE_IST_PUB_CHANGE="",IF(TITLE_IST_PUB="","",TITLE_IST_PUB),TITLE_IST_PUB_CHANGE)</f>
        <v>https://www.gov.spb.ru/gov/otrasl/energ_kom/inform_/standarty-raskrytiya-informacii-komitetom/teplo/</v>
      </c>
      <c r="BI36" s="2082"/>
      <c r="BJ36" s="2082"/>
      <c r="BK36" s="2082"/>
      <c r="BL36" s="2082"/>
      <c r="BM36" s="2082"/>
      <c r="BN36" s="2082"/>
      <c r="BO36" s="2082"/>
      <c r="BP36" s="1660"/>
      <c r="BQ36" s="2082" t="str">
        <f>IF(TITLE_IST_PUB_CHANGE="",IF(TITLE_IST_PUB="","",TITLE_IST_PUB),TITLE_IST_PUB_CHANGE)</f>
        <v>https://www.gov.spb.ru/gov/otrasl/energ_kom/inform_/standarty-raskrytiya-informacii-komitetom/teplo/</v>
      </c>
      <c r="BR36" s="2082"/>
      <c r="BS36" s="2082"/>
      <c r="BT36" s="2082"/>
      <c r="BU36" s="2082"/>
      <c r="BV36" s="2082"/>
      <c r="BW36" s="2082"/>
      <c r="BX36" s="2082"/>
      <c r="BY36" s="1660"/>
      <c r="BZ36" s="2082" t="str">
        <f>IF(TITLE_IST_PUB_CHANGE="",IF(TITLE_IST_PUB="","",TITLE_IST_PUB),TITLE_IST_PUB_CHANGE)</f>
        <v>https://www.gov.spb.ru/gov/otrasl/energ_kom/inform_/standarty-raskrytiya-informacii-komitetom/teplo/</v>
      </c>
      <c r="CA36" s="2082"/>
      <c r="CB36" s="2082"/>
      <c r="CC36" s="2082"/>
      <c r="CD36" s="2082"/>
      <c r="CE36" s="2082"/>
      <c r="CF36" s="2082"/>
      <c r="CG36" s="2082"/>
      <c r="CH36" s="1660"/>
      <c r="CI36" s="2082" t="str">
        <f>IF(TITLE_IST_PUB_CHANGE="",IF(TITLE_IST_PUB="","",TITLE_IST_PUB),TITLE_IST_PUB_CHANGE)</f>
        <v>https://www.gov.spb.ru/gov/otrasl/energ_kom/inform_/standarty-raskrytiya-informacii-komitetom/teplo/</v>
      </c>
      <c r="CJ36" s="2082"/>
      <c r="CK36" s="2082"/>
      <c r="CL36" s="2082"/>
      <c r="CM36" s="2082"/>
      <c r="CN36" s="2082"/>
      <c r="CO36" s="2082"/>
      <c r="CP36" s="2082"/>
      <c r="CQ36" s="1660"/>
      <c r="CR36" s="2082" t="str">
        <f>IF(TITLE_IST_PUB_CHANGE="",IF(TITLE_IST_PUB="","",TITLE_IST_PUB),TITLE_IST_PUB_CHANGE)</f>
        <v>https://www.gov.spb.ru/gov/otrasl/energ_kom/inform_/standarty-raskrytiya-informacii-komitetom/teplo/</v>
      </c>
      <c r="CS36" s="2082"/>
      <c r="CT36" s="2082"/>
      <c r="CU36" s="2082"/>
      <c r="CV36" s="2082"/>
      <c r="CW36" s="2082"/>
      <c r="CX36" s="2082"/>
      <c r="CY36" s="2082"/>
      <c r="CZ36" s="1660"/>
      <c r="DA36" s="314"/>
      <c r="DB36" s="261"/>
      <c r="DC36" s="360"/>
      <c r="DD36" s="360"/>
      <c r="DE36" s="360"/>
      <c r="DF36" s="360"/>
      <c r="DG36" s="360"/>
    </row>
    <row customHeight="1" ht="14.25" hidden="1">
      <c r="R37" s="368"/>
      <c r="S37" s="368"/>
      <c r="T37" s="368"/>
      <c r="U37" s="1292"/>
      <c r="V37" s="353"/>
      <c r="W37" s="353"/>
      <c r="X37" s="308"/>
      <c r="Y37" s="308"/>
      <c r="Z37" s="308"/>
      <c r="AA37" s="308"/>
      <c r="AB37" s="308"/>
      <c r="AC37" s="308"/>
      <c r="AD37" s="308"/>
      <c r="AE37" s="308"/>
      <c r="AF37" s="308"/>
      <c r="AG37" s="308"/>
      <c r="AH37" s="308"/>
      <c r="AI37" s="308"/>
      <c r="AJ37" s="308"/>
      <c r="AK37" s="308"/>
      <c r="AL37" s="308"/>
      <c r="AM37" s="308"/>
      <c r="AN37" s="308"/>
      <c r="AO37" s="308"/>
      <c r="AP37" s="308"/>
      <c r="AQ37" s="308"/>
      <c r="AR37" s="308"/>
      <c r="AS37" s="308"/>
      <c r="AT37" s="308"/>
      <c r="AU37" s="308"/>
      <c r="AV37" s="308"/>
      <c r="AW37" s="308"/>
      <c r="AX37" s="308"/>
      <c r="AY37" s="308"/>
      <c r="AZ37" s="308"/>
      <c r="BA37" s="308"/>
      <c r="BB37" s="308"/>
      <c r="BC37" s="308"/>
      <c r="BD37" s="308"/>
      <c r="BE37" s="308"/>
      <c r="BF37" s="308"/>
      <c r="BG37" s="308"/>
      <c r="BH37" s="308"/>
      <c r="BI37" s="308"/>
      <c r="BJ37" s="308"/>
      <c r="BK37" s="308"/>
      <c r="BL37" s="308"/>
      <c r="BM37" s="308"/>
      <c r="BN37" s="308"/>
      <c r="BO37" s="308"/>
      <c r="BP37" s="308"/>
      <c r="BQ37" s="308"/>
      <c r="BR37" s="308"/>
      <c r="BS37" s="308"/>
      <c r="BT37" s="308"/>
      <c r="BU37" s="308"/>
      <c r="BV37" s="308"/>
      <c r="BW37" s="308"/>
      <c r="BX37" s="308"/>
      <c r="BY37" s="308"/>
      <c r="BZ37" s="308"/>
      <c r="CA37" s="308"/>
      <c r="CB37" s="308"/>
      <c r="CC37" s="308"/>
      <c r="CD37" s="308"/>
      <c r="CE37" s="308"/>
      <c r="CF37" s="308"/>
      <c r="CG37" s="308"/>
      <c r="CH37" s="308"/>
      <c r="CI37" s="308"/>
      <c r="CJ37" s="308"/>
      <c r="CK37" s="308"/>
      <c r="CL37" s="308"/>
      <c r="CM37" s="308"/>
      <c r="CN37" s="308"/>
      <c r="CO37" s="308"/>
      <c r="CP37" s="308"/>
      <c r="CQ37" s="308"/>
      <c r="CR37" s="308"/>
      <c r="CS37" s="308"/>
      <c r="CT37" s="308"/>
      <c r="CU37" s="308"/>
      <c r="CV37" s="308"/>
      <c r="CW37" s="308"/>
      <c r="CX37" s="308"/>
      <c r="CY37" s="308"/>
      <c r="CZ37" s="308"/>
      <c r="DA37" s="505"/>
    </row>
    <row s="1877" customFormat="1" customHeight="1" ht="18.75" hidden="1">
      <c r="A38" s="1254"/>
      <c r="B38" s="1254"/>
      <c r="C38" s="1254"/>
      <c r="D38" s="1254"/>
      <c r="E38" s="1254"/>
      <c r="F38" s="1254"/>
      <c r="G38" s="1254"/>
      <c r="H38" s="1254"/>
      <c r="I38" s="1254"/>
      <c r="J38" s="1254"/>
      <c r="K38" s="1254"/>
      <c r="L38" s="1254"/>
      <c r="M38" s="1397"/>
      <c r="N38" s="1254"/>
      <c r="O38" s="1254"/>
      <c r="P38" s="1254"/>
      <c r="U38" s="2080" t="s">
        <v>429</v>
      </c>
      <c r="V38" s="2080"/>
      <c r="W38" s="1389"/>
      <c r="X38" s="2081" t="str">
        <f>IF(TITLE_DATE_PR_CHANGE="",IF(TITLE_DATE_PR="","",TITLE_DATE_PR),TITLE_DATE_PR_CHANGE)</f>
        <v>45268.58207175926</v>
      </c>
      <c r="Y38" s="2081"/>
      <c r="Z38" s="2081"/>
      <c r="AA38" s="2081"/>
      <c r="AB38" s="2081"/>
      <c r="AC38" s="2081"/>
      <c r="AD38" s="2081"/>
      <c r="AE38" s="2081"/>
      <c r="AF38" s="314"/>
      <c r="AG38" s="2081" t="str">
        <f>IF(TITLE_DATE_PR_CHANGE="",IF(TITLE_DATE_PR="","",TITLE_DATE_PR),TITLE_DATE_PR_CHANGE)</f>
        <v>45268.58207175926</v>
      </c>
      <c r="AH38" s="2081"/>
      <c r="AI38" s="2081"/>
      <c r="AJ38" s="2081"/>
      <c r="AK38" s="2081"/>
      <c r="AL38" s="2081"/>
      <c r="AM38" s="2081"/>
      <c r="AN38" s="2081"/>
      <c r="AO38" s="314"/>
      <c r="AP38" s="2081" t="str">
        <f>IF(TITLE_DATE_PR_CHANGE="",IF(TITLE_DATE_PR="","",TITLE_DATE_PR),TITLE_DATE_PR_CHANGE)</f>
        <v>45268.58207175926</v>
      </c>
      <c r="AQ38" s="2081"/>
      <c r="AR38" s="2081"/>
      <c r="AS38" s="2081"/>
      <c r="AT38" s="2081"/>
      <c r="AU38" s="2081"/>
      <c r="AV38" s="2081"/>
      <c r="AW38" s="2081"/>
      <c r="AX38" s="1660"/>
      <c r="AY38" s="2081" t="str">
        <f>IF(TITLE_DATE_PR_CHANGE="",IF(TITLE_DATE_PR="","",TITLE_DATE_PR),TITLE_DATE_PR_CHANGE)</f>
        <v>45268.58207175926</v>
      </c>
      <c r="AZ38" s="2081"/>
      <c r="BA38" s="2081"/>
      <c r="BB38" s="2081"/>
      <c r="BC38" s="2081"/>
      <c r="BD38" s="2081"/>
      <c r="BE38" s="2081"/>
      <c r="BF38" s="2081"/>
      <c r="BG38" s="1660"/>
      <c r="BH38" s="2081" t="str">
        <f>IF(TITLE_DATE_PR_CHANGE="",IF(TITLE_DATE_PR="","",TITLE_DATE_PR),TITLE_DATE_PR_CHANGE)</f>
        <v>45268.58207175926</v>
      </c>
      <c r="BI38" s="2081"/>
      <c r="BJ38" s="2081"/>
      <c r="BK38" s="2081"/>
      <c r="BL38" s="2081"/>
      <c r="BM38" s="2081"/>
      <c r="BN38" s="2081"/>
      <c r="BO38" s="2081"/>
      <c r="BP38" s="1660"/>
      <c r="BQ38" s="2081" t="str">
        <f>IF(TITLE_DATE_PR_CHANGE="",IF(TITLE_DATE_PR="","",TITLE_DATE_PR),TITLE_DATE_PR_CHANGE)</f>
        <v>45268.58207175926</v>
      </c>
      <c r="BR38" s="2081"/>
      <c r="BS38" s="2081"/>
      <c r="BT38" s="2081"/>
      <c r="BU38" s="2081"/>
      <c r="BV38" s="2081"/>
      <c r="BW38" s="2081"/>
      <c r="BX38" s="2081"/>
      <c r="BY38" s="1660"/>
      <c r="BZ38" s="2081" t="str">
        <f>IF(TITLE_DATE_PR_CHANGE="",IF(TITLE_DATE_PR="","",TITLE_DATE_PR),TITLE_DATE_PR_CHANGE)</f>
        <v>45268.58207175926</v>
      </c>
      <c r="CA38" s="2081"/>
      <c r="CB38" s="2081"/>
      <c r="CC38" s="2081"/>
      <c r="CD38" s="2081"/>
      <c r="CE38" s="2081"/>
      <c r="CF38" s="2081"/>
      <c r="CG38" s="2081"/>
      <c r="CH38" s="1660"/>
      <c r="CI38" s="2081" t="str">
        <f>IF(TITLE_DATE_PR_CHANGE="",IF(TITLE_DATE_PR="","",TITLE_DATE_PR),TITLE_DATE_PR_CHANGE)</f>
        <v>45268.58207175926</v>
      </c>
      <c r="CJ38" s="2081"/>
      <c r="CK38" s="2081"/>
      <c r="CL38" s="2081"/>
      <c r="CM38" s="2081"/>
      <c r="CN38" s="2081"/>
      <c r="CO38" s="2081"/>
      <c r="CP38" s="2081"/>
      <c r="CQ38" s="1660"/>
      <c r="CR38" s="2081" t="str">
        <f>IF(TITLE_DATE_PR_CHANGE="",IF(TITLE_DATE_PR="","",TITLE_DATE_PR),TITLE_DATE_PR_CHANGE)</f>
        <v>45268.58207175926</v>
      </c>
      <c r="CS38" s="2081"/>
      <c r="CT38" s="2081"/>
      <c r="CU38" s="2081"/>
      <c r="CV38" s="2081"/>
      <c r="CW38" s="2081"/>
      <c r="CX38" s="2081"/>
      <c r="CY38" s="2081"/>
      <c r="CZ38" s="1660"/>
      <c r="DA38" s="314"/>
      <c r="DB38" s="261"/>
      <c r="DC38" s="360"/>
      <c r="DD38" s="360"/>
      <c r="DE38" s="360"/>
      <c r="DF38" s="360"/>
      <c r="DG38" s="360"/>
    </row>
    <row s="1877" customFormat="1" customHeight="1" ht="18.75" hidden="1">
      <c r="A39" s="1254"/>
      <c r="B39" s="1254"/>
      <c r="C39" s="1254"/>
      <c r="D39" s="1254"/>
      <c r="E39" s="1254"/>
      <c r="F39" s="1254"/>
      <c r="G39" s="1254"/>
      <c r="H39" s="1254"/>
      <c r="I39" s="1254"/>
      <c r="J39" s="1254"/>
      <c r="K39" s="1254"/>
      <c r="L39" s="1254"/>
      <c r="M39" s="1397"/>
      <c r="N39" s="1254"/>
      <c r="O39" s="1254"/>
      <c r="P39" s="1254"/>
      <c r="U39" s="2080" t="s">
        <v>430</v>
      </c>
      <c r="V39" s="2080"/>
      <c r="W39" s="1389"/>
      <c r="X39" s="2082" t="str">
        <f>IF(TITLE_NUMBER_PR_CHANGE="",IF(TITLE_NUMBER_PR="","",TITLE_NUMBER_PR),TITLE_NUMBER_PR_CHANGE)</f>
        <v>237-р</v>
      </c>
      <c r="Y39" s="2082"/>
      <c r="Z39" s="2082"/>
      <c r="AA39" s="2082"/>
      <c r="AB39" s="2082"/>
      <c r="AC39" s="2082"/>
      <c r="AD39" s="2082"/>
      <c r="AE39" s="2082"/>
      <c r="AF39" s="314"/>
      <c r="AG39" s="2082" t="str">
        <f>IF(TITLE_NUMBER_PR_CHANGE="",IF(TITLE_NUMBER_PR="","",TITLE_NUMBER_PR),TITLE_NUMBER_PR_CHANGE)</f>
        <v>237-р</v>
      </c>
      <c r="AH39" s="2082"/>
      <c r="AI39" s="2082"/>
      <c r="AJ39" s="2082"/>
      <c r="AK39" s="2082"/>
      <c r="AL39" s="2082"/>
      <c r="AM39" s="2082"/>
      <c r="AN39" s="2082"/>
      <c r="AO39" s="314"/>
      <c r="AP39" s="2082" t="str">
        <f>IF(TITLE_NUMBER_PR_CHANGE="",IF(TITLE_NUMBER_PR="","",TITLE_NUMBER_PR),TITLE_NUMBER_PR_CHANGE)</f>
        <v>237-р</v>
      </c>
      <c r="AQ39" s="2082"/>
      <c r="AR39" s="2082"/>
      <c r="AS39" s="2082"/>
      <c r="AT39" s="2082"/>
      <c r="AU39" s="2082"/>
      <c r="AV39" s="2082"/>
      <c r="AW39" s="2082"/>
      <c r="AX39" s="1660"/>
      <c r="AY39" s="2082" t="str">
        <f>IF(TITLE_NUMBER_PR_CHANGE="",IF(TITLE_NUMBER_PR="","",TITLE_NUMBER_PR),TITLE_NUMBER_PR_CHANGE)</f>
        <v>237-р</v>
      </c>
      <c r="AZ39" s="2082"/>
      <c r="BA39" s="2082"/>
      <c r="BB39" s="2082"/>
      <c r="BC39" s="2082"/>
      <c r="BD39" s="2082"/>
      <c r="BE39" s="2082"/>
      <c r="BF39" s="2082"/>
      <c r="BG39" s="1660"/>
      <c r="BH39" s="2082" t="str">
        <f>IF(TITLE_NUMBER_PR_CHANGE="",IF(TITLE_NUMBER_PR="","",TITLE_NUMBER_PR),TITLE_NUMBER_PR_CHANGE)</f>
        <v>237-р</v>
      </c>
      <c r="BI39" s="2082"/>
      <c r="BJ39" s="2082"/>
      <c r="BK39" s="2082"/>
      <c r="BL39" s="2082"/>
      <c r="BM39" s="2082"/>
      <c r="BN39" s="2082"/>
      <c r="BO39" s="2082"/>
      <c r="BP39" s="1660"/>
      <c r="BQ39" s="2082" t="str">
        <f>IF(TITLE_NUMBER_PR_CHANGE="",IF(TITLE_NUMBER_PR="","",TITLE_NUMBER_PR),TITLE_NUMBER_PR_CHANGE)</f>
        <v>237-р</v>
      </c>
      <c r="BR39" s="2082"/>
      <c r="BS39" s="2082"/>
      <c r="BT39" s="2082"/>
      <c r="BU39" s="2082"/>
      <c r="BV39" s="2082"/>
      <c r="BW39" s="2082"/>
      <c r="BX39" s="2082"/>
      <c r="BY39" s="1660"/>
      <c r="BZ39" s="2082" t="str">
        <f>IF(TITLE_NUMBER_PR_CHANGE="",IF(TITLE_NUMBER_PR="","",TITLE_NUMBER_PR),TITLE_NUMBER_PR_CHANGE)</f>
        <v>237-р</v>
      </c>
      <c r="CA39" s="2082"/>
      <c r="CB39" s="2082"/>
      <c r="CC39" s="2082"/>
      <c r="CD39" s="2082"/>
      <c r="CE39" s="2082"/>
      <c r="CF39" s="2082"/>
      <c r="CG39" s="2082"/>
      <c r="CH39" s="1660"/>
      <c r="CI39" s="2082" t="str">
        <f>IF(TITLE_NUMBER_PR_CHANGE="",IF(TITLE_NUMBER_PR="","",TITLE_NUMBER_PR),TITLE_NUMBER_PR_CHANGE)</f>
        <v>237-р</v>
      </c>
      <c r="CJ39" s="2082"/>
      <c r="CK39" s="2082"/>
      <c r="CL39" s="2082"/>
      <c r="CM39" s="2082"/>
      <c r="CN39" s="2082"/>
      <c r="CO39" s="2082"/>
      <c r="CP39" s="2082"/>
      <c r="CQ39" s="1660"/>
      <c r="CR39" s="2082" t="str">
        <f>IF(TITLE_NUMBER_PR_CHANGE="",IF(TITLE_NUMBER_PR="","",TITLE_NUMBER_PR),TITLE_NUMBER_PR_CHANGE)</f>
        <v>237-р</v>
      </c>
      <c r="CS39" s="2082"/>
      <c r="CT39" s="2082"/>
      <c r="CU39" s="2082"/>
      <c r="CV39" s="2082"/>
      <c r="CW39" s="2082"/>
      <c r="CX39" s="2082"/>
      <c r="CY39" s="2082"/>
      <c r="CZ39" s="1660"/>
      <c r="DA39" s="314"/>
      <c r="DB39" s="261"/>
      <c r="DC39" s="360"/>
      <c r="DD39" s="360"/>
      <c r="DE39" s="360"/>
      <c r="DF39" s="360"/>
      <c r="DG39" s="360"/>
    </row>
    <row s="1877" customFormat="1" customHeight="1" ht="0">
      <c r="A40" s="1254"/>
      <c r="B40" s="1254"/>
      <c r="C40" s="1254"/>
      <c r="D40" s="1254"/>
      <c r="E40" s="1254"/>
      <c r="F40" s="1254"/>
      <c r="G40" s="1254"/>
      <c r="H40" s="1254"/>
      <c r="I40" s="1254"/>
      <c r="J40" s="1254"/>
      <c r="K40" s="1254"/>
      <c r="L40" s="1254"/>
      <c r="M40" s="1397"/>
      <c r="N40" s="1254"/>
      <c r="O40" s="1254"/>
      <c r="P40" s="1254"/>
      <c r="U40" s="310"/>
      <c r="V40" s="310"/>
      <c r="W40" s="1357"/>
      <c r="X40" s="314"/>
      <c r="Y40" s="314"/>
      <c r="Z40" s="314"/>
      <c r="AA40" s="314"/>
      <c r="AB40" s="314"/>
      <c r="AC40" s="314"/>
      <c r="AD40" s="314"/>
      <c r="AE40" s="314"/>
      <c r="AF40" s="259" t="s">
        <v>431</v>
      </c>
      <c r="AG40" s="314"/>
      <c r="AH40" s="314"/>
      <c r="AI40" s="314"/>
      <c r="AJ40" s="314"/>
      <c r="AK40" s="314"/>
      <c r="AL40" s="314"/>
      <c r="AM40" s="314"/>
      <c r="AN40" s="314"/>
      <c r="AO40" s="259" t="s">
        <v>431</v>
      </c>
      <c r="AP40" s="1660"/>
      <c r="AQ40" s="1660"/>
      <c r="AR40" s="1660"/>
      <c r="AS40" s="1660"/>
      <c r="AT40" s="1660"/>
      <c r="AU40" s="1660"/>
      <c r="AV40" s="1660"/>
      <c r="AW40" s="1660"/>
      <c r="AX40" s="1667" t="s">
        <v>431</v>
      </c>
      <c r="AY40" s="1660"/>
      <c r="AZ40" s="1660"/>
      <c r="BA40" s="1660"/>
      <c r="BB40" s="1660"/>
      <c r="BC40" s="1660"/>
      <c r="BD40" s="1660"/>
      <c r="BE40" s="1660"/>
      <c r="BF40" s="1660"/>
      <c r="BG40" s="1667" t="s">
        <v>431</v>
      </c>
      <c r="BH40" s="1660"/>
      <c r="BI40" s="1660"/>
      <c r="BJ40" s="1660"/>
      <c r="BK40" s="1660"/>
      <c r="BL40" s="1660"/>
      <c r="BM40" s="1660"/>
      <c r="BN40" s="1660"/>
      <c r="BO40" s="1660"/>
      <c r="BP40" s="1667" t="s">
        <v>431</v>
      </c>
      <c r="BQ40" s="1660"/>
      <c r="BR40" s="1660"/>
      <c r="BS40" s="1660"/>
      <c r="BT40" s="1660"/>
      <c r="BU40" s="1660"/>
      <c r="BV40" s="1660"/>
      <c r="BW40" s="1660"/>
      <c r="BX40" s="1660"/>
      <c r="BY40" s="1667" t="s">
        <v>431</v>
      </c>
      <c r="BZ40" s="1660"/>
      <c r="CA40" s="1660"/>
      <c r="CB40" s="1660"/>
      <c r="CC40" s="1660"/>
      <c r="CD40" s="1660"/>
      <c r="CE40" s="1660"/>
      <c r="CF40" s="1660"/>
      <c r="CG40" s="1660"/>
      <c r="CH40" s="1667" t="s">
        <v>431</v>
      </c>
      <c r="CI40" s="1660"/>
      <c r="CJ40" s="1660"/>
      <c r="CK40" s="1660"/>
      <c r="CL40" s="1660"/>
      <c r="CM40" s="1660"/>
      <c r="CN40" s="1660"/>
      <c r="CO40" s="1660"/>
      <c r="CP40" s="1660"/>
      <c r="CQ40" s="1667" t="s">
        <v>431</v>
      </c>
      <c r="CR40" s="1660"/>
      <c r="CS40" s="1660"/>
      <c r="CT40" s="1660"/>
      <c r="CU40" s="1660"/>
      <c r="CV40" s="1660"/>
      <c r="CW40" s="1660"/>
      <c r="CX40" s="1660"/>
      <c r="CY40" s="1660"/>
      <c r="CZ40" s="1667" t="s">
        <v>431</v>
      </c>
      <c r="DC40" s="360"/>
      <c r="DD40" s="360"/>
      <c r="DE40" s="360"/>
      <c r="DF40" s="360"/>
      <c r="DG40" s="360"/>
    </row>
    <row customHeight="1" ht="14.25">
      <c r="R41" s="368"/>
      <c r="S41" s="368"/>
      <c r="T41" s="368"/>
      <c r="U41" s="1292"/>
      <c r="V41" s="353"/>
      <c r="W41" s="1249"/>
      <c r="X41" s="2106"/>
      <c r="Y41" s="2106"/>
      <c r="Z41" s="2106"/>
      <c r="AA41" s="2106"/>
      <c r="AB41" s="2106"/>
      <c r="AC41" s="2106"/>
      <c r="AD41" s="2106"/>
      <c r="AE41" s="2106"/>
      <c r="AF41" s="2106"/>
      <c r="AG41" s="2106"/>
      <c r="AH41" s="2106"/>
      <c r="AI41" s="2106"/>
      <c r="AJ41" s="2106"/>
      <c r="AK41" s="2106"/>
      <c r="AL41" s="2106"/>
      <c r="AM41" s="2106"/>
      <c r="AN41" s="2106"/>
      <c r="AO41" s="2106"/>
      <c r="AP41" s="2106" t="s">
        <v>169</v>
      </c>
      <c r="AQ41" s="2106"/>
      <c r="AR41" s="2106"/>
      <c r="AS41" s="2106"/>
      <c r="AT41" s="2106"/>
      <c r="AU41" s="2106"/>
      <c r="AV41" s="2106"/>
      <c r="AW41" s="2106"/>
      <c r="AX41" s="2106"/>
      <c r="AY41" s="2106" t="s">
        <v>169</v>
      </c>
      <c r="AZ41" s="2106"/>
      <c r="BA41" s="2106"/>
      <c r="BB41" s="2106"/>
      <c r="BC41" s="2106"/>
      <c r="BD41" s="2106"/>
      <c r="BE41" s="2106"/>
      <c r="BF41" s="2106"/>
      <c r="BG41" s="2106"/>
      <c r="BH41" s="2106" t="s">
        <v>169</v>
      </c>
      <c r="BI41" s="2106"/>
      <c r="BJ41" s="2106"/>
      <c r="BK41" s="2106"/>
      <c r="BL41" s="2106"/>
      <c r="BM41" s="2106"/>
      <c r="BN41" s="2106"/>
      <c r="BO41" s="2106"/>
      <c r="BP41" s="2106"/>
      <c r="BQ41" s="2106" t="s">
        <v>169</v>
      </c>
      <c r="BR41" s="2106"/>
      <c r="BS41" s="2106"/>
      <c r="BT41" s="2106"/>
      <c r="BU41" s="2106"/>
      <c r="BV41" s="2106"/>
      <c r="BW41" s="2106"/>
      <c r="BX41" s="2106"/>
      <c r="BY41" s="2106"/>
      <c r="BZ41" s="2106" t="s">
        <v>169</v>
      </c>
      <c r="CA41" s="2106"/>
      <c r="CB41" s="2106"/>
      <c r="CC41" s="2106"/>
      <c r="CD41" s="2106"/>
      <c r="CE41" s="2106"/>
      <c r="CF41" s="2106"/>
      <c r="CG41" s="2106"/>
      <c r="CH41" s="2106"/>
      <c r="CI41" s="2106" t="s">
        <v>169</v>
      </c>
      <c r="CJ41" s="2106"/>
      <c r="CK41" s="2106"/>
      <c r="CL41" s="2106"/>
      <c r="CM41" s="2106"/>
      <c r="CN41" s="2106"/>
      <c r="CO41" s="2106"/>
      <c r="CP41" s="2106"/>
      <c r="CQ41" s="2106"/>
      <c r="CR41" s="2106" t="s">
        <v>169</v>
      </c>
      <c r="CS41" s="2106"/>
      <c r="CT41" s="2106"/>
      <c r="CU41" s="2106"/>
      <c r="CV41" s="2106"/>
      <c r="CW41" s="2106"/>
      <c r="CX41" s="2106"/>
      <c r="CY41" s="2106"/>
      <c r="CZ41" s="2106"/>
    </row>
    <row customHeight="1" ht="14.25">
      <c r="R42" s="368"/>
      <c r="S42" s="368"/>
      <c r="T42" s="368"/>
      <c r="U42" s="1953" t="s">
        <v>305</v>
      </c>
      <c r="V42" s="1953"/>
      <c r="W42" s="1953"/>
      <c r="X42" s="1953"/>
      <c r="Y42" s="1953"/>
      <c r="Z42" s="1953"/>
      <c r="AA42" s="1953"/>
      <c r="AB42" s="1953"/>
      <c r="AC42" s="1953"/>
      <c r="AD42" s="1953"/>
      <c r="AE42" s="1953"/>
      <c r="AF42" s="1953"/>
      <c r="AG42" s="1953"/>
      <c r="AH42" s="1953"/>
      <c r="AI42" s="1953"/>
      <c r="AJ42" s="1953"/>
      <c r="AK42" s="1953"/>
      <c r="AL42" s="1953"/>
      <c r="AM42" s="1953"/>
      <c r="AN42" s="1953"/>
      <c r="AO42" s="1953"/>
      <c r="AP42" s="2017" t="s">
        <v>305</v>
      </c>
      <c r="AQ42" s="2017"/>
      <c r="AR42" s="2017"/>
      <c r="AS42" s="2017"/>
      <c r="AT42" s="2017"/>
      <c r="AU42" s="2017"/>
      <c r="AV42" s="2017"/>
      <c r="AW42" s="2017"/>
      <c r="AX42" s="2017"/>
      <c r="AY42" s="2017" t="s">
        <v>305</v>
      </c>
      <c r="AZ42" s="2017"/>
      <c r="BA42" s="2017"/>
      <c r="BB42" s="2017"/>
      <c r="BC42" s="2017"/>
      <c r="BD42" s="2017"/>
      <c r="BE42" s="2017"/>
      <c r="BF42" s="2017"/>
      <c r="BG42" s="2017"/>
      <c r="BH42" s="2017" t="s">
        <v>305</v>
      </c>
      <c r="BI42" s="2017"/>
      <c r="BJ42" s="2017"/>
      <c r="BK42" s="2017"/>
      <c r="BL42" s="2017"/>
      <c r="BM42" s="2017"/>
      <c r="BN42" s="2017"/>
      <c r="BO42" s="2017"/>
      <c r="BP42" s="2017"/>
      <c r="BQ42" s="2017" t="s">
        <v>305</v>
      </c>
      <c r="BR42" s="2017"/>
      <c r="BS42" s="2017"/>
      <c r="BT42" s="2017"/>
      <c r="BU42" s="2017"/>
      <c r="BV42" s="2017"/>
      <c r="BW42" s="2017"/>
      <c r="BX42" s="2017"/>
      <c r="BY42" s="2017"/>
      <c r="BZ42" s="2017" t="s">
        <v>305</v>
      </c>
      <c r="CA42" s="2017"/>
      <c r="CB42" s="2017"/>
      <c r="CC42" s="2017"/>
      <c r="CD42" s="2017"/>
      <c r="CE42" s="2017"/>
      <c r="CF42" s="2017"/>
      <c r="CG42" s="2017"/>
      <c r="CH42" s="2017"/>
      <c r="CI42" s="2017" t="s">
        <v>305</v>
      </c>
      <c r="CJ42" s="2017"/>
      <c r="CK42" s="2017"/>
      <c r="CL42" s="2017"/>
      <c r="CM42" s="2017"/>
      <c r="CN42" s="2017"/>
      <c r="CO42" s="2017"/>
      <c r="CP42" s="2017"/>
      <c r="CQ42" s="2017"/>
      <c r="CR42" s="2017" t="s">
        <v>305</v>
      </c>
      <c r="CS42" s="2017"/>
      <c r="CT42" s="2017"/>
      <c r="CU42" s="2017"/>
      <c r="CV42" s="2017"/>
      <c r="CW42" s="2017"/>
      <c r="CX42" s="2017"/>
      <c r="CY42" s="2017"/>
      <c r="CZ42" s="2017"/>
      <c r="DA42" s="1953"/>
      <c r="DB42" s="1953"/>
    </row>
    <row customHeight="1" ht="14.25">
      <c r="R43" s="368"/>
      <c r="S43" s="368"/>
      <c r="T43" s="368"/>
      <c r="U43" s="2107" t="s">
        <v>87</v>
      </c>
      <c r="V43" s="2044" t="s">
        <v>432</v>
      </c>
      <c r="W43" s="281"/>
      <c r="X43" s="2108" t="s">
        <v>433</v>
      </c>
      <c r="Y43" s="2128"/>
      <c r="Z43" s="2128"/>
      <c r="AA43" s="2128"/>
      <c r="AB43" s="2128"/>
      <c r="AC43" s="2109"/>
      <c r="AD43" s="2109"/>
      <c r="AE43" s="2110"/>
      <c r="AF43" s="2111" t="s">
        <v>434</v>
      </c>
      <c r="AG43" s="2108" t="s">
        <v>433</v>
      </c>
      <c r="AH43" s="2128"/>
      <c r="AI43" s="2128"/>
      <c r="AJ43" s="2128"/>
      <c r="AK43" s="2128"/>
      <c r="AL43" s="2109"/>
      <c r="AM43" s="2109"/>
      <c r="AN43" s="2110"/>
      <c r="AO43" s="2111" t="s">
        <v>435</v>
      </c>
      <c r="AP43" s="2224" t="s">
        <v>433</v>
      </c>
      <c r="AQ43" s="2128"/>
      <c r="AR43" s="2128"/>
      <c r="AS43" s="2128"/>
      <c r="AT43" s="2128"/>
      <c r="AU43" s="2225"/>
      <c r="AV43" s="2225"/>
      <c r="AW43" s="2226"/>
      <c r="AX43" s="2111" t="s">
        <v>434</v>
      </c>
      <c r="AY43" s="2224" t="s">
        <v>433</v>
      </c>
      <c r="AZ43" s="2128"/>
      <c r="BA43" s="2128"/>
      <c r="BB43" s="2128"/>
      <c r="BC43" s="2128"/>
      <c r="BD43" s="2225"/>
      <c r="BE43" s="2225"/>
      <c r="BF43" s="2226"/>
      <c r="BG43" s="2111" t="s">
        <v>434</v>
      </c>
      <c r="BH43" s="2224" t="s">
        <v>433</v>
      </c>
      <c r="BI43" s="2128"/>
      <c r="BJ43" s="2128"/>
      <c r="BK43" s="2128"/>
      <c r="BL43" s="2128"/>
      <c r="BM43" s="2225"/>
      <c r="BN43" s="2225"/>
      <c r="BO43" s="2226"/>
      <c r="BP43" s="2111" t="s">
        <v>434</v>
      </c>
      <c r="BQ43" s="2224" t="s">
        <v>433</v>
      </c>
      <c r="BR43" s="2128"/>
      <c r="BS43" s="2128"/>
      <c r="BT43" s="2128"/>
      <c r="BU43" s="2128"/>
      <c r="BV43" s="2225"/>
      <c r="BW43" s="2225"/>
      <c r="BX43" s="2226"/>
      <c r="BY43" s="2111" t="s">
        <v>434</v>
      </c>
      <c r="BZ43" s="2224" t="s">
        <v>433</v>
      </c>
      <c r="CA43" s="2128"/>
      <c r="CB43" s="2128"/>
      <c r="CC43" s="2128"/>
      <c r="CD43" s="2128"/>
      <c r="CE43" s="2225"/>
      <c r="CF43" s="2225"/>
      <c r="CG43" s="2226"/>
      <c r="CH43" s="2111" t="s">
        <v>434</v>
      </c>
      <c r="CI43" s="2224" t="s">
        <v>433</v>
      </c>
      <c r="CJ43" s="2128"/>
      <c r="CK43" s="2128"/>
      <c r="CL43" s="2128"/>
      <c r="CM43" s="2128"/>
      <c r="CN43" s="2225"/>
      <c r="CO43" s="2225"/>
      <c r="CP43" s="2226"/>
      <c r="CQ43" s="2111" t="s">
        <v>434</v>
      </c>
      <c r="CR43" s="2224" t="s">
        <v>433</v>
      </c>
      <c r="CS43" s="2128"/>
      <c r="CT43" s="2128"/>
      <c r="CU43" s="2128"/>
      <c r="CV43" s="2128"/>
      <c r="CW43" s="2225"/>
      <c r="CX43" s="2225"/>
      <c r="CY43" s="2226"/>
      <c r="CZ43" s="2111" t="s">
        <v>434</v>
      </c>
      <c r="DA43" s="2114" t="s">
        <v>436</v>
      </c>
      <c r="DB43" s="1953"/>
    </row>
    <row customHeight="1" ht="33.75">
      <c r="R44" s="368"/>
      <c r="S44" s="368"/>
      <c r="T44" s="368"/>
      <c r="U44" s="2107"/>
      <c r="V44" s="2044"/>
      <c r="W44" s="1026"/>
      <c r="X44" s="2126" t="s">
        <v>461</v>
      </c>
      <c r="Y44" s="2135" t="s">
        <v>462</v>
      </c>
      <c r="Z44" s="2135"/>
      <c r="AA44" s="2135"/>
      <c r="AB44" s="2135"/>
      <c r="AC44" s="2126" t="s">
        <v>440</v>
      </c>
      <c r="AD44" s="3761"/>
      <c r="AE44" s="2145"/>
      <c r="AF44" s="2112"/>
      <c r="AG44" s="2126" t="s">
        <v>461</v>
      </c>
      <c r="AH44" s="2135" t="s">
        <v>462</v>
      </c>
      <c r="AI44" s="2135"/>
      <c r="AJ44" s="2135"/>
      <c r="AK44" s="2135"/>
      <c r="AL44" s="2126" t="s">
        <v>440</v>
      </c>
      <c r="AM44" s="3761"/>
      <c r="AN44" s="2145"/>
      <c r="AO44" s="2112"/>
      <c r="AP44" s="2011" t="s">
        <v>461</v>
      </c>
      <c r="AQ44" s="2017" t="s">
        <v>462</v>
      </c>
      <c r="AR44" s="2017"/>
      <c r="AS44" s="2017"/>
      <c r="AT44" s="2017"/>
      <c r="AU44" s="2011" t="s">
        <v>440</v>
      </c>
      <c r="AV44" s="3761"/>
      <c r="AW44" s="2012"/>
      <c r="AX44" s="2112"/>
      <c r="AY44" s="2011" t="s">
        <v>461</v>
      </c>
      <c r="AZ44" s="2017" t="s">
        <v>462</v>
      </c>
      <c r="BA44" s="2017"/>
      <c r="BB44" s="2017"/>
      <c r="BC44" s="2017"/>
      <c r="BD44" s="2011" t="s">
        <v>440</v>
      </c>
      <c r="BE44" s="3761"/>
      <c r="BF44" s="2012"/>
      <c r="BG44" s="2112"/>
      <c r="BH44" s="2011" t="s">
        <v>461</v>
      </c>
      <c r="BI44" s="2017" t="s">
        <v>462</v>
      </c>
      <c r="BJ44" s="2017"/>
      <c r="BK44" s="2017"/>
      <c r="BL44" s="2017"/>
      <c r="BM44" s="2011" t="s">
        <v>440</v>
      </c>
      <c r="BN44" s="3761"/>
      <c r="BO44" s="2012"/>
      <c r="BP44" s="2112"/>
      <c r="BQ44" s="2011" t="s">
        <v>461</v>
      </c>
      <c r="BR44" s="2017" t="s">
        <v>462</v>
      </c>
      <c r="BS44" s="2017"/>
      <c r="BT44" s="2017"/>
      <c r="BU44" s="2017"/>
      <c r="BV44" s="2011" t="s">
        <v>440</v>
      </c>
      <c r="BW44" s="3761"/>
      <c r="BX44" s="2012"/>
      <c r="BY44" s="2112"/>
      <c r="BZ44" s="2011" t="s">
        <v>461</v>
      </c>
      <c r="CA44" s="2017" t="s">
        <v>462</v>
      </c>
      <c r="CB44" s="2017"/>
      <c r="CC44" s="2017"/>
      <c r="CD44" s="2017"/>
      <c r="CE44" s="2011" t="s">
        <v>440</v>
      </c>
      <c r="CF44" s="3761"/>
      <c r="CG44" s="2012"/>
      <c r="CH44" s="2112"/>
      <c r="CI44" s="2011" t="s">
        <v>461</v>
      </c>
      <c r="CJ44" s="2017" t="s">
        <v>462</v>
      </c>
      <c r="CK44" s="2017"/>
      <c r="CL44" s="2017"/>
      <c r="CM44" s="2017"/>
      <c r="CN44" s="2011" t="s">
        <v>440</v>
      </c>
      <c r="CO44" s="3761"/>
      <c r="CP44" s="2012"/>
      <c r="CQ44" s="2112"/>
      <c r="CR44" s="2011" t="s">
        <v>461</v>
      </c>
      <c r="CS44" s="2017" t="s">
        <v>462</v>
      </c>
      <c r="CT44" s="2017"/>
      <c r="CU44" s="2017"/>
      <c r="CV44" s="2017"/>
      <c r="CW44" s="2011" t="s">
        <v>440</v>
      </c>
      <c r="CX44" s="3761"/>
      <c r="CY44" s="2012"/>
      <c r="CZ44" s="2112"/>
      <c r="DA44" s="2115"/>
      <c r="DB44" s="1953"/>
    </row>
    <row customHeight="1" ht="14.25">
      <c r="R45" s="368"/>
      <c r="S45" s="368"/>
      <c r="T45" s="368"/>
      <c r="U45" s="2107"/>
      <c r="V45" s="2044"/>
      <c r="W45" s="1026"/>
      <c r="X45" s="2148"/>
      <c r="Y45" s="2136" t="s">
        <v>463</v>
      </c>
      <c r="Z45" s="2103" t="s">
        <v>464</v>
      </c>
      <c r="AA45" s="2139"/>
      <c r="AB45" s="2104"/>
      <c r="AC45" s="2127"/>
      <c r="AD45" s="3762"/>
      <c r="AE45" s="2147"/>
      <c r="AF45" s="2112"/>
      <c r="AG45" s="2148"/>
      <c r="AH45" s="2136" t="s">
        <v>463</v>
      </c>
      <c r="AI45" s="2103" t="s">
        <v>464</v>
      </c>
      <c r="AJ45" s="2139"/>
      <c r="AK45" s="2104"/>
      <c r="AL45" s="2127"/>
      <c r="AM45" s="3762"/>
      <c r="AN45" s="2147"/>
      <c r="AO45" s="2112"/>
      <c r="AP45" s="2013"/>
      <c r="AQ45" s="2055" t="s">
        <v>463</v>
      </c>
      <c r="AR45" s="2050" t="s">
        <v>464</v>
      </c>
      <c r="AS45" s="2065"/>
      <c r="AT45" s="2066"/>
      <c r="AU45" s="2019"/>
      <c r="AV45" s="3762"/>
      <c r="AW45" s="2020"/>
      <c r="AX45" s="2112"/>
      <c r="AY45" s="2013"/>
      <c r="AZ45" s="2055" t="s">
        <v>463</v>
      </c>
      <c r="BA45" s="2050" t="s">
        <v>464</v>
      </c>
      <c r="BB45" s="2065"/>
      <c r="BC45" s="2066"/>
      <c r="BD45" s="2019"/>
      <c r="BE45" s="3762"/>
      <c r="BF45" s="2020"/>
      <c r="BG45" s="2112"/>
      <c r="BH45" s="2013"/>
      <c r="BI45" s="2055" t="s">
        <v>463</v>
      </c>
      <c r="BJ45" s="2050" t="s">
        <v>464</v>
      </c>
      <c r="BK45" s="2065"/>
      <c r="BL45" s="2066"/>
      <c r="BM45" s="2019"/>
      <c r="BN45" s="3762"/>
      <c r="BO45" s="2020"/>
      <c r="BP45" s="2112"/>
      <c r="BQ45" s="2013"/>
      <c r="BR45" s="2055" t="s">
        <v>463</v>
      </c>
      <c r="BS45" s="2050" t="s">
        <v>464</v>
      </c>
      <c r="BT45" s="2065"/>
      <c r="BU45" s="2066"/>
      <c r="BV45" s="2019"/>
      <c r="BW45" s="3762"/>
      <c r="BX45" s="2020"/>
      <c r="BY45" s="2112"/>
      <c r="BZ45" s="2013"/>
      <c r="CA45" s="2055" t="s">
        <v>463</v>
      </c>
      <c r="CB45" s="2050" t="s">
        <v>464</v>
      </c>
      <c r="CC45" s="2065"/>
      <c r="CD45" s="2066"/>
      <c r="CE45" s="2019"/>
      <c r="CF45" s="3762"/>
      <c r="CG45" s="2020"/>
      <c r="CH45" s="2112"/>
      <c r="CI45" s="2013"/>
      <c r="CJ45" s="2055" t="s">
        <v>463</v>
      </c>
      <c r="CK45" s="2050" t="s">
        <v>464</v>
      </c>
      <c r="CL45" s="2065"/>
      <c r="CM45" s="2066"/>
      <c r="CN45" s="2019"/>
      <c r="CO45" s="3762"/>
      <c r="CP45" s="2020"/>
      <c r="CQ45" s="2112"/>
      <c r="CR45" s="2013"/>
      <c r="CS45" s="2055" t="s">
        <v>463</v>
      </c>
      <c r="CT45" s="2050" t="s">
        <v>464</v>
      </c>
      <c r="CU45" s="2065"/>
      <c r="CV45" s="2066"/>
      <c r="CW45" s="2019"/>
      <c r="CX45" s="3762"/>
      <c r="CY45" s="2020"/>
      <c r="CZ45" s="2112"/>
      <c r="DA45" s="2115"/>
      <c r="DB45" s="1953"/>
    </row>
    <row customHeight="1" ht="25.5">
      <c r="R46" s="368"/>
      <c r="S46" s="368"/>
      <c r="T46" s="368"/>
      <c r="U46" s="2107"/>
      <c r="V46" s="2044"/>
      <c r="W46" s="1026"/>
      <c r="X46" s="2148"/>
      <c r="Y46" s="2137"/>
      <c r="Z46" s="2136" t="s">
        <v>465</v>
      </c>
      <c r="AA46" s="2103" t="s">
        <v>466</v>
      </c>
      <c r="AB46" s="2104"/>
      <c r="AC46" s="2136" t="s">
        <v>450</v>
      </c>
      <c r="AD46" s="2140" t="s">
        <v>451</v>
      </c>
      <c r="AE46" s="2141"/>
      <c r="AF46" s="2112"/>
      <c r="AG46" s="2148"/>
      <c r="AH46" s="2137"/>
      <c r="AI46" s="2136" t="s">
        <v>465</v>
      </c>
      <c r="AJ46" s="2103" t="s">
        <v>466</v>
      </c>
      <c r="AK46" s="2104"/>
      <c r="AL46" s="2136" t="s">
        <v>450</v>
      </c>
      <c r="AM46" s="2140" t="s">
        <v>451</v>
      </c>
      <c r="AN46" s="2141"/>
      <c r="AO46" s="2112"/>
      <c r="AP46" s="2013"/>
      <c r="AQ46" s="1900"/>
      <c r="AR46" s="2055" t="s">
        <v>465</v>
      </c>
      <c r="AS46" s="2050" t="s">
        <v>466</v>
      </c>
      <c r="AT46" s="2066"/>
      <c r="AU46" s="2055" t="s">
        <v>450</v>
      </c>
      <c r="AV46" s="2057" t="s">
        <v>451</v>
      </c>
      <c r="AW46" s="2053"/>
      <c r="AX46" s="2112"/>
      <c r="AY46" s="2013"/>
      <c r="AZ46" s="1900"/>
      <c r="BA46" s="2055" t="s">
        <v>465</v>
      </c>
      <c r="BB46" s="2050" t="s">
        <v>466</v>
      </c>
      <c r="BC46" s="2066"/>
      <c r="BD46" s="2055" t="s">
        <v>450</v>
      </c>
      <c r="BE46" s="2057" t="s">
        <v>451</v>
      </c>
      <c r="BF46" s="2053"/>
      <c r="BG46" s="2112"/>
      <c r="BH46" s="2013"/>
      <c r="BI46" s="1900"/>
      <c r="BJ46" s="2055" t="s">
        <v>465</v>
      </c>
      <c r="BK46" s="2050" t="s">
        <v>466</v>
      </c>
      <c r="BL46" s="2066"/>
      <c r="BM46" s="2055" t="s">
        <v>450</v>
      </c>
      <c r="BN46" s="2057" t="s">
        <v>451</v>
      </c>
      <c r="BO46" s="2053"/>
      <c r="BP46" s="2112"/>
      <c r="BQ46" s="2013"/>
      <c r="BR46" s="1900"/>
      <c r="BS46" s="2055" t="s">
        <v>465</v>
      </c>
      <c r="BT46" s="2050" t="s">
        <v>466</v>
      </c>
      <c r="BU46" s="2066"/>
      <c r="BV46" s="2055" t="s">
        <v>450</v>
      </c>
      <c r="BW46" s="2057" t="s">
        <v>451</v>
      </c>
      <c r="BX46" s="2053"/>
      <c r="BY46" s="2112"/>
      <c r="BZ46" s="2013"/>
      <c r="CA46" s="1900"/>
      <c r="CB46" s="2055" t="s">
        <v>465</v>
      </c>
      <c r="CC46" s="2050" t="s">
        <v>466</v>
      </c>
      <c r="CD46" s="2066"/>
      <c r="CE46" s="2055" t="s">
        <v>450</v>
      </c>
      <c r="CF46" s="2057" t="s">
        <v>451</v>
      </c>
      <c r="CG46" s="2053"/>
      <c r="CH46" s="2112"/>
      <c r="CI46" s="2013"/>
      <c r="CJ46" s="1900"/>
      <c r="CK46" s="2055" t="s">
        <v>465</v>
      </c>
      <c r="CL46" s="2050" t="s">
        <v>466</v>
      </c>
      <c r="CM46" s="2066"/>
      <c r="CN46" s="2055" t="s">
        <v>450</v>
      </c>
      <c r="CO46" s="2057" t="s">
        <v>451</v>
      </c>
      <c r="CP46" s="2053"/>
      <c r="CQ46" s="2112"/>
      <c r="CR46" s="2013"/>
      <c r="CS46" s="1900"/>
      <c r="CT46" s="2055" t="s">
        <v>465</v>
      </c>
      <c r="CU46" s="2050" t="s">
        <v>466</v>
      </c>
      <c r="CV46" s="2066"/>
      <c r="CW46" s="2055" t="s">
        <v>450</v>
      </c>
      <c r="CX46" s="2057" t="s">
        <v>451</v>
      </c>
      <c r="CY46" s="2053"/>
      <c r="CZ46" s="2112"/>
      <c r="DA46" s="2115"/>
      <c r="DB46" s="1953"/>
    </row>
    <row customHeight="1" ht="62.25">
      <c r="A47" s="1275"/>
      <c r="B47" s="1275" t="s">
        <v>134</v>
      </c>
      <c r="C47" s="1275" t="s">
        <v>135</v>
      </c>
      <c r="D47" s="1275" t="s">
        <v>136</v>
      </c>
      <c r="E47" s="1327" t="s">
        <v>441</v>
      </c>
      <c r="F47" s="1327" t="s">
        <v>442</v>
      </c>
      <c r="G47" s="1327" t="s">
        <v>443</v>
      </c>
      <c r="H47" s="1327" t="s">
        <v>444</v>
      </c>
      <c r="I47" s="1327" t="s">
        <v>445</v>
      </c>
      <c r="J47" s="1327" t="s">
        <v>446</v>
      </c>
      <c r="K47" s="1327" t="s">
        <v>447</v>
      </c>
      <c r="L47" s="1327" t="s">
        <v>467</v>
      </c>
      <c r="M47" s="1327" t="s">
        <v>422</v>
      </c>
      <c r="R47" s="368"/>
      <c r="S47" s="368"/>
      <c r="T47" s="368"/>
      <c r="U47" s="2107"/>
      <c r="V47" s="2044"/>
      <c r="W47" s="282"/>
      <c r="X47" s="2127"/>
      <c r="Y47" s="2138"/>
      <c r="Z47" s="2138"/>
      <c r="AA47" s="1224" t="s">
        <v>468</v>
      </c>
      <c r="AB47" s="1224" t="s">
        <v>469</v>
      </c>
      <c r="AC47" s="2138"/>
      <c r="AD47" s="2142"/>
      <c r="AE47" s="2143"/>
      <c r="AF47" s="2113"/>
      <c r="AG47" s="2127"/>
      <c r="AH47" s="2138"/>
      <c r="AI47" s="2138"/>
      <c r="AJ47" s="1224" t="s">
        <v>468</v>
      </c>
      <c r="AK47" s="1224" t="s">
        <v>469</v>
      </c>
      <c r="AL47" s="2138"/>
      <c r="AM47" s="2142"/>
      <c r="AN47" s="2143"/>
      <c r="AO47" s="2113"/>
      <c r="AP47" s="2019"/>
      <c r="AQ47" s="2056"/>
      <c r="AR47" s="2056"/>
      <c r="AS47" s="2360" t="s">
        <v>468</v>
      </c>
      <c r="AT47" s="2360" t="s">
        <v>469</v>
      </c>
      <c r="AU47" s="2056"/>
      <c r="AV47" s="2058"/>
      <c r="AW47" s="2054"/>
      <c r="AX47" s="2113"/>
      <c r="AY47" s="2019"/>
      <c r="AZ47" s="2056"/>
      <c r="BA47" s="2056"/>
      <c r="BB47" s="2360" t="s">
        <v>468</v>
      </c>
      <c r="BC47" s="2360" t="s">
        <v>469</v>
      </c>
      <c r="BD47" s="2056"/>
      <c r="BE47" s="2058"/>
      <c r="BF47" s="2054"/>
      <c r="BG47" s="2113"/>
      <c r="BH47" s="2019"/>
      <c r="BI47" s="2056"/>
      <c r="BJ47" s="2056"/>
      <c r="BK47" s="2360" t="s">
        <v>468</v>
      </c>
      <c r="BL47" s="2360" t="s">
        <v>469</v>
      </c>
      <c r="BM47" s="2056"/>
      <c r="BN47" s="2058"/>
      <c r="BO47" s="2054"/>
      <c r="BP47" s="2113"/>
      <c r="BQ47" s="2019"/>
      <c r="BR47" s="2056"/>
      <c r="BS47" s="2056"/>
      <c r="BT47" s="2360" t="s">
        <v>468</v>
      </c>
      <c r="BU47" s="2360" t="s">
        <v>469</v>
      </c>
      <c r="BV47" s="2056"/>
      <c r="BW47" s="2058"/>
      <c r="BX47" s="2054"/>
      <c r="BY47" s="2113"/>
      <c r="BZ47" s="2019"/>
      <c r="CA47" s="2056"/>
      <c r="CB47" s="2056"/>
      <c r="CC47" s="2360" t="s">
        <v>468</v>
      </c>
      <c r="CD47" s="2360" t="s">
        <v>469</v>
      </c>
      <c r="CE47" s="2056"/>
      <c r="CF47" s="2058"/>
      <c r="CG47" s="2054"/>
      <c r="CH47" s="2113"/>
      <c r="CI47" s="2019"/>
      <c r="CJ47" s="2056"/>
      <c r="CK47" s="2056"/>
      <c r="CL47" s="2360" t="s">
        <v>468</v>
      </c>
      <c r="CM47" s="2360" t="s">
        <v>469</v>
      </c>
      <c r="CN47" s="2056"/>
      <c r="CO47" s="2058"/>
      <c r="CP47" s="2054"/>
      <c r="CQ47" s="2113"/>
      <c r="CR47" s="2019"/>
      <c r="CS47" s="2056"/>
      <c r="CT47" s="2056"/>
      <c r="CU47" s="2360" t="s">
        <v>468</v>
      </c>
      <c r="CV47" s="2360" t="s">
        <v>469</v>
      </c>
      <c r="CW47" s="2056"/>
      <c r="CX47" s="2058"/>
      <c r="CY47" s="2054"/>
      <c r="CZ47" s="2113"/>
      <c r="DA47" s="2116"/>
      <c r="DB47" s="1953"/>
    </row>
    <row s="1666" customFormat="1" customHeight="1" ht="11.25" hidden="1">
      <c r="A48" s="1275"/>
      <c r="B48" s="1275"/>
      <c r="C48" s="1275"/>
      <c r="D48" s="1275"/>
      <c r="E48" s="1275"/>
      <c r="F48" s="1275"/>
      <c r="G48" s="1275"/>
      <c r="H48" s="1275"/>
      <c r="I48" s="1275"/>
      <c r="J48" s="1275"/>
      <c r="K48" s="1275"/>
      <c r="L48" s="1275"/>
      <c r="M48" s="1327"/>
      <c r="N48" s="1345"/>
      <c r="O48" s="1345"/>
      <c r="P48" s="1345"/>
      <c r="Q48" s="1251"/>
      <c r="R48" s="1252"/>
      <c r="S48" s="1267">
        <v>1</v>
      </c>
      <c r="T48" s="1267"/>
      <c r="U48" s="1294" t="s">
        <v>108</v>
      </c>
      <c r="V48" s="1268" t="s">
        <v>109</v>
      </c>
      <c r="W48" s="1250" t="str">
        <f>OFFSET(W48,0,-1)</f>
        <v>2</v>
      </c>
      <c r="X48" s="1352">
        <f>OFFSET(X48,0,-1)+1</f>
        <v>3</v>
      </c>
      <c r="Y48" s="1358"/>
      <c r="Z48" s="1358"/>
      <c r="AA48" s="1358">
        <f>OFFSET(AA48,0,-1)+1</f>
        <v>1</v>
      </c>
      <c r="AB48" s="1358">
        <f>OFFSET(AB48,0,-1)+1</f>
        <v>2</v>
      </c>
      <c r="AC48" s="1352">
        <f>OFFSET(AC48,0,-1)+1</f>
        <v>3</v>
      </c>
      <c r="AD48" s="2105">
        <f>OFFSET(AD48,0,-1)+1</f>
        <v>4</v>
      </c>
      <c r="AE48" s="2105"/>
      <c r="AF48" s="1352">
        <f>OFFSET(AF48,0,-2)+1</f>
        <v>5</v>
      </c>
      <c r="AG48" s="1352">
        <f>OFFSET(AG48,0,-1)+1</f>
        <v>6</v>
      </c>
      <c r="AH48" s="1352"/>
      <c r="AI48" s="1352"/>
      <c r="AJ48" s="1352">
        <f>OFFSET(AJ48,0,-1)+1</f>
        <v>1</v>
      </c>
      <c r="AK48" s="1352">
        <f>OFFSET(AK48,0,-1)+1</f>
        <v>2</v>
      </c>
      <c r="AL48" s="1352">
        <f>OFFSET(AL48,0,-1)+1</f>
        <v>3</v>
      </c>
      <c r="AM48" s="2105">
        <f>OFFSET(AM48,0,-1)+1</f>
        <v>4</v>
      </c>
      <c r="AN48" s="2105"/>
      <c r="AO48" s="1352">
        <f>OFFSET(AO48,0,-2)+1</f>
        <v>5</v>
      </c>
      <c r="AP48" s="2105">
        <f>OFFSET(AP48,0,-1)+1</f>
        <v>3</v>
      </c>
      <c r="AQ48" s="1358"/>
      <c r="AR48" s="1358"/>
      <c r="AS48" s="1358">
        <f>OFFSET(AS48,0,-1)+1</f>
        <v>1</v>
      </c>
      <c r="AT48" s="1358">
        <f>OFFSET(AT48,0,-1)+1</f>
        <v>2</v>
      </c>
      <c r="AU48" s="2105">
        <f>OFFSET(AU48,0,-1)+1</f>
        <v>3</v>
      </c>
      <c r="AV48" s="2105">
        <f>OFFSET(AV48,0,-1)+1</f>
        <v>4</v>
      </c>
      <c r="AW48" s="2105"/>
      <c r="AX48" s="2105">
        <f>OFFSET(AX48,0,-2)+1</f>
        <v>5</v>
      </c>
      <c r="AY48" s="2105">
        <f>OFFSET(AY48,0,-1)+1</f>
        <v>3</v>
      </c>
      <c r="AZ48" s="1358"/>
      <c r="BA48" s="1358"/>
      <c r="BB48" s="1358">
        <f>OFFSET(BB48,0,-1)+1</f>
        <v>1</v>
      </c>
      <c r="BC48" s="1358">
        <f>OFFSET(BC48,0,-1)+1</f>
        <v>2</v>
      </c>
      <c r="BD48" s="2105">
        <f>OFFSET(BD48,0,-1)+1</f>
        <v>3</v>
      </c>
      <c r="BE48" s="2105">
        <f>OFFSET(BE48,0,-1)+1</f>
        <v>4</v>
      </c>
      <c r="BF48" s="2105"/>
      <c r="BG48" s="2105">
        <f>OFFSET(BG48,0,-2)+1</f>
        <v>5</v>
      </c>
      <c r="BH48" s="2105">
        <f>OFFSET(BH48,0,-1)+1</f>
        <v>3</v>
      </c>
      <c r="BI48" s="1358"/>
      <c r="BJ48" s="1358"/>
      <c r="BK48" s="1358">
        <f>OFFSET(BK48,0,-1)+1</f>
        <v>1</v>
      </c>
      <c r="BL48" s="1358">
        <f>OFFSET(BL48,0,-1)+1</f>
        <v>2</v>
      </c>
      <c r="BM48" s="2105">
        <f>OFFSET(BM48,0,-1)+1</f>
        <v>3</v>
      </c>
      <c r="BN48" s="2105">
        <f>OFFSET(BN48,0,-1)+1</f>
        <v>4</v>
      </c>
      <c r="BO48" s="2105"/>
      <c r="BP48" s="2105">
        <f>OFFSET(BP48,0,-2)+1</f>
        <v>5</v>
      </c>
      <c r="BQ48" s="2105">
        <f>OFFSET(BQ48,0,-1)+1</f>
        <v>3</v>
      </c>
      <c r="BR48" s="1358"/>
      <c r="BS48" s="1358"/>
      <c r="BT48" s="1358">
        <f>OFFSET(BT48,0,-1)+1</f>
        <v>1</v>
      </c>
      <c r="BU48" s="1358">
        <f>OFFSET(BU48,0,-1)+1</f>
        <v>2</v>
      </c>
      <c r="BV48" s="2105">
        <f>OFFSET(BV48,0,-1)+1</f>
        <v>3</v>
      </c>
      <c r="BW48" s="2105">
        <f>OFFSET(BW48,0,-1)+1</f>
        <v>4</v>
      </c>
      <c r="BX48" s="2105"/>
      <c r="BY48" s="2105">
        <f>OFFSET(BY48,0,-2)+1</f>
        <v>5</v>
      </c>
      <c r="BZ48" s="2105">
        <f>OFFSET(BZ48,0,-1)+1</f>
        <v>3</v>
      </c>
      <c r="CA48" s="1358"/>
      <c r="CB48" s="1358"/>
      <c r="CC48" s="1358">
        <f>OFFSET(CC48,0,-1)+1</f>
        <v>1</v>
      </c>
      <c r="CD48" s="1358">
        <f>OFFSET(CD48,0,-1)+1</f>
        <v>2</v>
      </c>
      <c r="CE48" s="2105">
        <f>OFFSET(CE48,0,-1)+1</f>
        <v>3</v>
      </c>
      <c r="CF48" s="2105">
        <f>OFFSET(CF48,0,-1)+1</f>
        <v>4</v>
      </c>
      <c r="CG48" s="2105"/>
      <c r="CH48" s="2105">
        <f>OFFSET(CH48,0,-2)+1</f>
        <v>5</v>
      </c>
      <c r="CI48" s="2105">
        <f>OFFSET(CI48,0,-1)+1</f>
        <v>3</v>
      </c>
      <c r="CJ48" s="1358"/>
      <c r="CK48" s="1358"/>
      <c r="CL48" s="1358">
        <f>OFFSET(CL48,0,-1)+1</f>
        <v>1</v>
      </c>
      <c r="CM48" s="1358">
        <f>OFFSET(CM48,0,-1)+1</f>
        <v>2</v>
      </c>
      <c r="CN48" s="2105">
        <f>OFFSET(CN48,0,-1)+1</f>
        <v>3</v>
      </c>
      <c r="CO48" s="2105">
        <f>OFFSET(CO48,0,-1)+1</f>
        <v>4</v>
      </c>
      <c r="CP48" s="2105"/>
      <c r="CQ48" s="2105">
        <f>OFFSET(CQ48,0,-2)+1</f>
        <v>5</v>
      </c>
      <c r="CR48" s="2105">
        <f>OFFSET(CR48,0,-1)+1</f>
        <v>3</v>
      </c>
      <c r="CS48" s="1358"/>
      <c r="CT48" s="1358"/>
      <c r="CU48" s="1358">
        <f>OFFSET(CU48,0,-1)+1</f>
        <v>1</v>
      </c>
      <c r="CV48" s="1358">
        <f>OFFSET(CV48,0,-1)+1</f>
        <v>2</v>
      </c>
      <c r="CW48" s="2105">
        <f>OFFSET(CW48,0,-1)+1</f>
        <v>3</v>
      </c>
      <c r="CX48" s="2105">
        <f>OFFSET(CX48,0,-1)+1</f>
        <v>4</v>
      </c>
      <c r="CY48" s="2105"/>
      <c r="CZ48" s="2105">
        <f>OFFSET(CZ48,0,-2)+1</f>
        <v>5</v>
      </c>
      <c r="DA48" s="1250">
        <f>OFFSET(DA48,0,-1)</f>
        <v>5</v>
      </c>
      <c r="DB48" s="1352">
        <f>OFFSET(DB48,0,-1)+1</f>
        <v>6</v>
      </c>
      <c r="DC48" s="507"/>
      <c r="DD48" s="507"/>
      <c r="DE48" s="507"/>
      <c r="DF48" s="507"/>
      <c r="DG48" s="507"/>
    </row>
    <row customHeight="1" ht="21">
      <c r="A49" s="1283" t="s">
        <v>193</v>
      </c>
      <c r="B49" s="1283"/>
      <c r="C49" s="1283"/>
      <c r="D49" s="1283"/>
      <c r="E49" s="2149">
        <v>1</v>
      </c>
      <c r="F49" s="1283"/>
      <c r="G49" s="1283"/>
      <c r="H49" s="1283"/>
      <c r="I49" s="1283"/>
      <c r="J49" s="1283"/>
      <c r="K49" s="1283"/>
      <c r="L49" s="1283"/>
      <c r="M49" s="1327"/>
      <c r="N49" s="683"/>
      <c r="O49" s="683"/>
      <c r="P49" s="683"/>
      <c r="Q49" s="349"/>
      <c r="R49" s="348"/>
      <c r="S49" s="348"/>
      <c r="T49" s="343"/>
      <c r="U49" s="1353">
        <f>INDEX(PT_DIFFERENTIATION_NUM_NTAR,MATCH(A49,PT_DIFFERENTIATION_NTAR_ID,0))</f>
        <v>1</v>
      </c>
      <c r="V49" s="278" t="s">
        <v>122</v>
      </c>
      <c r="W49" s="280"/>
      <c r="X49" s="2083"/>
      <c r="Y49" s="2084"/>
      <c r="Z49" s="2084"/>
      <c r="AA49" s="2084"/>
      <c r="AB49" s="2084"/>
      <c r="AC49" s="2084"/>
      <c r="AD49" s="2084"/>
      <c r="AE49" s="2084"/>
      <c r="AF49" s="2085"/>
      <c r="AG49" s="2083" t="str">
        <f>INDEX(PT_DIFFERENTIATION_NTAR,MATCH(A49,PT_DIFFERENTIATION_NTAR_ID,0))</f>
        <v>Тариф на горячую воду (горячее водоснабжение), поставляемую обществом с ограниченной ответственностью "ПРОМ ИМПУЛЬС" в открытых системах теплоснабжения потребителям, расположенным на территории Санкт-Петербурга</v>
      </c>
      <c r="AH49" s="2084"/>
      <c r="AI49" s="2084"/>
      <c r="AJ49" s="2084"/>
      <c r="AK49" s="2084"/>
      <c r="AL49" s="2084"/>
      <c r="AM49" s="2084"/>
      <c r="AN49" s="2084"/>
      <c r="AO49" s="2084"/>
      <c r="AP49" s="2083"/>
      <c r="AQ49" s="2084"/>
      <c r="AR49" s="2084"/>
      <c r="AS49" s="2084"/>
      <c r="AT49" s="2084"/>
      <c r="AU49" s="2084"/>
      <c r="AV49" s="2084"/>
      <c r="AW49" s="2084"/>
      <c r="AX49" s="2085"/>
      <c r="AY49" s="2083"/>
      <c r="AZ49" s="2084"/>
      <c r="BA49" s="2084"/>
      <c r="BB49" s="2084"/>
      <c r="BC49" s="2084"/>
      <c r="BD49" s="2084"/>
      <c r="BE49" s="2084"/>
      <c r="BF49" s="2084"/>
      <c r="BG49" s="2085"/>
      <c r="BH49" s="2083"/>
      <c r="BI49" s="2084"/>
      <c r="BJ49" s="2084"/>
      <c r="BK49" s="2084"/>
      <c r="BL49" s="2084"/>
      <c r="BM49" s="2084"/>
      <c r="BN49" s="2084"/>
      <c r="BO49" s="2084"/>
      <c r="BP49" s="2085"/>
      <c r="BQ49" s="2083"/>
      <c r="BR49" s="2084"/>
      <c r="BS49" s="2084"/>
      <c r="BT49" s="2084"/>
      <c r="BU49" s="2084"/>
      <c r="BV49" s="2084"/>
      <c r="BW49" s="2084"/>
      <c r="BX49" s="2084"/>
      <c r="BY49" s="2085"/>
      <c r="BZ49" s="2083"/>
      <c r="CA49" s="2084"/>
      <c r="CB49" s="2084"/>
      <c r="CC49" s="2084"/>
      <c r="CD49" s="2084"/>
      <c r="CE49" s="2084"/>
      <c r="CF49" s="2084"/>
      <c r="CG49" s="2084"/>
      <c r="CH49" s="2085"/>
      <c r="CI49" s="2083"/>
      <c r="CJ49" s="2084"/>
      <c r="CK49" s="2084"/>
      <c r="CL49" s="2084"/>
      <c r="CM49" s="2084"/>
      <c r="CN49" s="2084"/>
      <c r="CO49" s="2084"/>
      <c r="CP49" s="2084"/>
      <c r="CQ49" s="2085"/>
      <c r="CR49" s="2083"/>
      <c r="CS49" s="2084"/>
      <c r="CT49" s="2084"/>
      <c r="CU49" s="2084"/>
      <c r="CV49" s="2084"/>
      <c r="CW49" s="2084"/>
      <c r="CX49" s="2084"/>
      <c r="CY49" s="2084"/>
      <c r="CZ49" s="2085"/>
      <c r="DA49" s="2085"/>
      <c r="DB49" s="127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DD49" s="496"/>
      <c r="DE49" s="496" t="str">
        <f>IF(V49="","",V49)</f>
        <v>Наименование тарифа</v>
      </c>
      <c r="DF49" s="496"/>
      <c r="DG49" s="496"/>
    </row>
    <row customHeight="1" ht="21">
      <c r="A50" s="1283" t="s">
        <v>193</v>
      </c>
      <c r="B50" s="1283" t="s">
        <v>194</v>
      </c>
      <c r="C50" s="1283"/>
      <c r="D50" s="1283"/>
      <c r="E50" s="2150"/>
      <c r="F50" s="2149">
        <v>1</v>
      </c>
      <c r="G50" s="1283"/>
      <c r="H50" s="1283"/>
      <c r="I50" s="1283"/>
      <c r="J50" s="1283"/>
      <c r="K50" s="1283"/>
      <c r="L50" s="1283"/>
      <c r="M50" s="1327"/>
      <c r="N50" s="683"/>
      <c r="O50" s="683"/>
      <c r="P50" s="683"/>
      <c r="Q50" s="1349"/>
      <c r="R50" s="340"/>
      <c r="S50" s="505"/>
      <c r="T50" s="341"/>
      <c r="U50" s="1353" t="str">
        <f>INDEX(PT_DIFFERENTIATION_NUM_TER,MATCH(B50,PT_DIFFERENTIATION_TER_ID,0))</f>
        <v>1.1</v>
      </c>
      <c r="V50" s="290" t="s">
        <v>404</v>
      </c>
      <c r="W50" s="280"/>
      <c r="X50" s="2083"/>
      <c r="Y50" s="2084"/>
      <c r="Z50" s="2084"/>
      <c r="AA50" s="2084"/>
      <c r="AB50" s="2084"/>
      <c r="AC50" s="2084"/>
      <c r="AD50" s="2084"/>
      <c r="AE50" s="2084"/>
      <c r="AF50" s="2085"/>
      <c r="AG50" s="2083" t="str">
        <f>INDEX(PT_DIFFERENTIATION_TER,MATCH(B50,PT_DIFFERENTIATION_TER_ID,0))</f>
        <v>Территория 1</v>
      </c>
      <c r="AH50" s="2084"/>
      <c r="AI50" s="2084"/>
      <c r="AJ50" s="2084"/>
      <c r="AK50" s="2084"/>
      <c r="AL50" s="2084"/>
      <c r="AM50" s="2084"/>
      <c r="AN50" s="2084"/>
      <c r="AO50" s="2084"/>
      <c r="AP50" s="2083"/>
      <c r="AQ50" s="2084"/>
      <c r="AR50" s="2084"/>
      <c r="AS50" s="2084"/>
      <c r="AT50" s="2084"/>
      <c r="AU50" s="2084"/>
      <c r="AV50" s="2084"/>
      <c r="AW50" s="2084"/>
      <c r="AX50" s="2085"/>
      <c r="AY50" s="2083"/>
      <c r="AZ50" s="2084"/>
      <c r="BA50" s="2084"/>
      <c r="BB50" s="2084"/>
      <c r="BC50" s="2084"/>
      <c r="BD50" s="2084"/>
      <c r="BE50" s="2084"/>
      <c r="BF50" s="2084"/>
      <c r="BG50" s="2085"/>
      <c r="BH50" s="2083"/>
      <c r="BI50" s="2084"/>
      <c r="BJ50" s="2084"/>
      <c r="BK50" s="2084"/>
      <c r="BL50" s="2084"/>
      <c r="BM50" s="2084"/>
      <c r="BN50" s="2084"/>
      <c r="BO50" s="2084"/>
      <c r="BP50" s="2085"/>
      <c r="BQ50" s="2083"/>
      <c r="BR50" s="2084"/>
      <c r="BS50" s="2084"/>
      <c r="BT50" s="2084"/>
      <c r="BU50" s="2084"/>
      <c r="BV50" s="2084"/>
      <c r="BW50" s="2084"/>
      <c r="BX50" s="2084"/>
      <c r="BY50" s="2085"/>
      <c r="BZ50" s="2083"/>
      <c r="CA50" s="2084"/>
      <c r="CB50" s="2084"/>
      <c r="CC50" s="2084"/>
      <c r="CD50" s="2084"/>
      <c r="CE50" s="2084"/>
      <c r="CF50" s="2084"/>
      <c r="CG50" s="2084"/>
      <c r="CH50" s="2085"/>
      <c r="CI50" s="2083"/>
      <c r="CJ50" s="2084"/>
      <c r="CK50" s="2084"/>
      <c r="CL50" s="2084"/>
      <c r="CM50" s="2084"/>
      <c r="CN50" s="2084"/>
      <c r="CO50" s="2084"/>
      <c r="CP50" s="2084"/>
      <c r="CQ50" s="2085"/>
      <c r="CR50" s="2083"/>
      <c r="CS50" s="2084"/>
      <c r="CT50" s="2084"/>
      <c r="CU50" s="2084"/>
      <c r="CV50" s="2084"/>
      <c r="CW50" s="2084"/>
      <c r="CX50" s="2084"/>
      <c r="CY50" s="2084"/>
      <c r="CZ50" s="2085"/>
      <c r="DA50" s="2085"/>
      <c r="DB50" s="1273" t="s">
        <v>405</v>
      </c>
      <c r="DD50" s="496"/>
      <c r="DE50" s="496" t="str">
        <f>IF(V50="","",V50)</f>
        <v>Территория действия тарифа</v>
      </c>
      <c r="DF50" s="496"/>
      <c r="DG50" s="496"/>
    </row>
    <row customHeight="1" ht="22.5">
      <c r="A51" s="1283" t="s">
        <v>193</v>
      </c>
      <c r="B51" s="1283" t="s">
        <v>194</v>
      </c>
      <c r="C51" s="1283" t="s">
        <v>195</v>
      </c>
      <c r="D51" s="1283"/>
      <c r="E51" s="2150"/>
      <c r="F51" s="2150"/>
      <c r="G51" s="2149">
        <v>1</v>
      </c>
      <c r="H51" s="1283"/>
      <c r="I51" s="1283"/>
      <c r="J51" s="1283"/>
      <c r="K51" s="1283"/>
      <c r="L51" s="1283"/>
      <c r="M51" s="1327"/>
      <c r="N51" s="683"/>
      <c r="O51" s="683"/>
      <c r="P51" s="683"/>
      <c r="Q51" s="342"/>
      <c r="R51" s="340"/>
      <c r="S51" s="505"/>
      <c r="T51" s="341"/>
      <c r="U51" s="1353" t="str">
        <f>INDEX(PT_DIFFERENTIATION_NUM_CS,MATCH(C51,PT_DIFFERENTIATION_CS_ID,0))</f>
        <v>1.1.1</v>
      </c>
      <c r="V51" s="291" t="s">
        <v>406</v>
      </c>
      <c r="W51" s="280"/>
      <c r="X51" s="2083"/>
      <c r="Y51" s="2084"/>
      <c r="Z51" s="2084"/>
      <c r="AA51" s="2084"/>
      <c r="AB51" s="2084"/>
      <c r="AC51" s="2084"/>
      <c r="AD51" s="2084"/>
      <c r="AE51" s="2084"/>
      <c r="AF51" s="2085"/>
      <c r="AG51" s="2083" t="str">
        <f>INDEX(PT_DIFFERENTIATION_CS,MATCH(C51,PT_DIFFERENTIATION_CS_ID,0))</f>
        <v>без дифференциации</v>
      </c>
      <c r="AH51" s="2084"/>
      <c r="AI51" s="2084"/>
      <c r="AJ51" s="2084"/>
      <c r="AK51" s="2084"/>
      <c r="AL51" s="2084"/>
      <c r="AM51" s="2084"/>
      <c r="AN51" s="2084"/>
      <c r="AO51" s="2084"/>
      <c r="AP51" s="2083"/>
      <c r="AQ51" s="2084"/>
      <c r="AR51" s="2084"/>
      <c r="AS51" s="2084"/>
      <c r="AT51" s="2084"/>
      <c r="AU51" s="2084"/>
      <c r="AV51" s="2084"/>
      <c r="AW51" s="2084"/>
      <c r="AX51" s="2085"/>
      <c r="AY51" s="2083"/>
      <c r="AZ51" s="2084"/>
      <c r="BA51" s="2084"/>
      <c r="BB51" s="2084"/>
      <c r="BC51" s="2084"/>
      <c r="BD51" s="2084"/>
      <c r="BE51" s="2084"/>
      <c r="BF51" s="2084"/>
      <c r="BG51" s="2085"/>
      <c r="BH51" s="2083"/>
      <c r="BI51" s="2084"/>
      <c r="BJ51" s="2084"/>
      <c r="BK51" s="2084"/>
      <c r="BL51" s="2084"/>
      <c r="BM51" s="2084"/>
      <c r="BN51" s="2084"/>
      <c r="BO51" s="2084"/>
      <c r="BP51" s="2085"/>
      <c r="BQ51" s="2083"/>
      <c r="BR51" s="2084"/>
      <c r="BS51" s="2084"/>
      <c r="BT51" s="2084"/>
      <c r="BU51" s="2084"/>
      <c r="BV51" s="2084"/>
      <c r="BW51" s="2084"/>
      <c r="BX51" s="2084"/>
      <c r="BY51" s="2085"/>
      <c r="BZ51" s="2083"/>
      <c r="CA51" s="2084"/>
      <c r="CB51" s="2084"/>
      <c r="CC51" s="2084"/>
      <c r="CD51" s="2084"/>
      <c r="CE51" s="2084"/>
      <c r="CF51" s="2084"/>
      <c r="CG51" s="2084"/>
      <c r="CH51" s="2085"/>
      <c r="CI51" s="2083"/>
      <c r="CJ51" s="2084"/>
      <c r="CK51" s="2084"/>
      <c r="CL51" s="2084"/>
      <c r="CM51" s="2084"/>
      <c r="CN51" s="2084"/>
      <c r="CO51" s="2084"/>
      <c r="CP51" s="2084"/>
      <c r="CQ51" s="2085"/>
      <c r="CR51" s="2083"/>
      <c r="CS51" s="2084"/>
      <c r="CT51" s="2084"/>
      <c r="CU51" s="2084"/>
      <c r="CV51" s="2084"/>
      <c r="CW51" s="2084"/>
      <c r="CX51" s="2084"/>
      <c r="CY51" s="2084"/>
      <c r="CZ51" s="2085"/>
      <c r="DA51" s="2085"/>
      <c r="DB51" s="1273" t="s">
        <v>407</v>
      </c>
      <c r="DD51" s="496"/>
      <c r="DE51" s="496" t="str">
        <f>IF(V51="","",V51)</f>
        <v>Наименование системы теплоснабжения </v>
      </c>
      <c r="DF51" s="496"/>
      <c r="DG51" s="496"/>
    </row>
    <row customHeight="1" ht="21">
      <c r="A52" s="1283" t="s">
        <v>193</v>
      </c>
      <c r="B52" s="1283" t="s">
        <v>194</v>
      </c>
      <c r="C52" s="1283" t="s">
        <v>195</v>
      </c>
      <c r="D52" s="1283" t="s">
        <v>196</v>
      </c>
      <c r="E52" s="2150"/>
      <c r="F52" s="2150"/>
      <c r="G52" s="2150"/>
      <c r="H52" s="2151">
        <v>1</v>
      </c>
      <c r="I52" s="1283"/>
      <c r="J52" s="1283"/>
      <c r="K52" s="1283"/>
      <c r="L52" s="1283"/>
      <c r="M52" s="1327"/>
      <c r="N52" s="683"/>
      <c r="O52" s="683"/>
      <c r="P52" s="683"/>
      <c r="Q52" s="342"/>
      <c r="R52" s="340"/>
      <c r="S52" s="505"/>
      <c r="T52" s="341"/>
      <c r="U52" s="1353" t="str">
        <f>INDEX(PT_DIFFERENTIATION_NUM_IST_TE,MATCH(D52,PT_DIFFERENTIATION_IST_TE_ID,0))</f>
        <v>1.1.1.1</v>
      </c>
      <c r="V52" s="292" t="s">
        <v>408</v>
      </c>
      <c r="W52" s="280"/>
      <c r="X52" s="2083"/>
      <c r="Y52" s="2084"/>
      <c r="Z52" s="2084"/>
      <c r="AA52" s="2084"/>
      <c r="AB52" s="2084"/>
      <c r="AC52" s="2084"/>
      <c r="AD52" s="2084"/>
      <c r="AE52" s="2084"/>
      <c r="AF52" s="2085"/>
      <c r="AG52" s="2083" t="str">
        <f>INDEX(PT_DIFFERENTIATION_IST_TE,MATCH(D52,PT_DIFFERENTIATION_IST_TE_ID,0))</f>
        <v>без дифференциации</v>
      </c>
      <c r="AH52" s="2084"/>
      <c r="AI52" s="2084"/>
      <c r="AJ52" s="2084"/>
      <c r="AK52" s="2084"/>
      <c r="AL52" s="2084"/>
      <c r="AM52" s="2084"/>
      <c r="AN52" s="2084"/>
      <c r="AO52" s="2084"/>
      <c r="AP52" s="2083"/>
      <c r="AQ52" s="2084"/>
      <c r="AR52" s="2084"/>
      <c r="AS52" s="2084"/>
      <c r="AT52" s="2084"/>
      <c r="AU52" s="2084"/>
      <c r="AV52" s="2084"/>
      <c r="AW52" s="2084"/>
      <c r="AX52" s="2085"/>
      <c r="AY52" s="2083"/>
      <c r="AZ52" s="2084"/>
      <c r="BA52" s="2084"/>
      <c r="BB52" s="2084"/>
      <c r="BC52" s="2084"/>
      <c r="BD52" s="2084"/>
      <c r="BE52" s="2084"/>
      <c r="BF52" s="2084"/>
      <c r="BG52" s="2085"/>
      <c r="BH52" s="2083"/>
      <c r="BI52" s="2084"/>
      <c r="BJ52" s="2084"/>
      <c r="BK52" s="2084"/>
      <c r="BL52" s="2084"/>
      <c r="BM52" s="2084"/>
      <c r="BN52" s="2084"/>
      <c r="BO52" s="2084"/>
      <c r="BP52" s="2085"/>
      <c r="BQ52" s="2083"/>
      <c r="BR52" s="2084"/>
      <c r="BS52" s="2084"/>
      <c r="BT52" s="2084"/>
      <c r="BU52" s="2084"/>
      <c r="BV52" s="2084"/>
      <c r="BW52" s="2084"/>
      <c r="BX52" s="2084"/>
      <c r="BY52" s="2085"/>
      <c r="BZ52" s="2083"/>
      <c r="CA52" s="2084"/>
      <c r="CB52" s="2084"/>
      <c r="CC52" s="2084"/>
      <c r="CD52" s="2084"/>
      <c r="CE52" s="2084"/>
      <c r="CF52" s="2084"/>
      <c r="CG52" s="2084"/>
      <c r="CH52" s="2085"/>
      <c r="CI52" s="2083"/>
      <c r="CJ52" s="2084"/>
      <c r="CK52" s="2084"/>
      <c r="CL52" s="2084"/>
      <c r="CM52" s="2084"/>
      <c r="CN52" s="2084"/>
      <c r="CO52" s="2084"/>
      <c r="CP52" s="2084"/>
      <c r="CQ52" s="2085"/>
      <c r="CR52" s="2083"/>
      <c r="CS52" s="2084"/>
      <c r="CT52" s="2084"/>
      <c r="CU52" s="2084"/>
      <c r="CV52" s="2084"/>
      <c r="CW52" s="2084"/>
      <c r="CX52" s="2084"/>
      <c r="CY52" s="2084"/>
      <c r="CZ52" s="2085"/>
      <c r="DA52" s="2085"/>
      <c r="DB52" s="1273" t="s">
        <v>409</v>
      </c>
      <c r="DD52" s="496"/>
      <c r="DE52" s="496" t="str">
        <f>IF(V52="","",V52)</f>
        <v>Источник тепловой энергии  </v>
      </c>
      <c r="DF52" s="496"/>
      <c r="DG52" s="496"/>
    </row>
    <row s="1667" customFormat="1" customHeight="1" ht="0">
      <c r="A53" s="1392" t="s">
        <v>193</v>
      </c>
      <c r="B53" s="1392" t="s">
        <v>194</v>
      </c>
      <c r="C53" s="1392" t="s">
        <v>195</v>
      </c>
      <c r="D53" s="1392" t="s">
        <v>196</v>
      </c>
      <c r="E53" s="2150"/>
      <c r="F53" s="2150"/>
      <c r="G53" s="2150"/>
      <c r="H53" s="2152"/>
      <c r="I53" s="1953" t="str">
        <f>U52&amp;".1"</f>
        <v>1.1.1.1.1</v>
      </c>
      <c r="J53" s="1392"/>
      <c r="K53" s="1392"/>
      <c r="L53" s="1392"/>
      <c r="M53" s="1398" t="s">
        <v>410</v>
      </c>
      <c r="N53" s="1251"/>
      <c r="O53" s="1251"/>
      <c r="P53" s="1251"/>
      <c r="Q53" s="2093">
        <v>1</v>
      </c>
      <c r="R53" s="1348"/>
      <c r="S53" s="1348"/>
      <c r="T53" s="344"/>
      <c r="U53" s="1037"/>
      <c r="V53" s="1400"/>
      <c r="W53" s="1401"/>
      <c r="X53" s="2129"/>
      <c r="Y53" s="2130"/>
      <c r="Z53" s="2130"/>
      <c r="AA53" s="2130"/>
      <c r="AB53" s="2130"/>
      <c r="AC53" s="2130"/>
      <c r="AD53" s="2130"/>
      <c r="AE53" s="2130"/>
      <c r="AF53" s="2131"/>
      <c r="AG53" s="2129"/>
      <c r="AH53" s="2130"/>
      <c r="AI53" s="2130"/>
      <c r="AJ53" s="2130"/>
      <c r="AK53" s="2130"/>
      <c r="AL53" s="2130"/>
      <c r="AM53" s="2130"/>
      <c r="AN53" s="2130"/>
      <c r="AO53" s="2130"/>
      <c r="AP53" s="2129"/>
      <c r="AQ53" s="2130"/>
      <c r="AR53" s="2130"/>
      <c r="AS53" s="2130"/>
      <c r="AT53" s="2130"/>
      <c r="AU53" s="2130"/>
      <c r="AV53" s="2130"/>
      <c r="AW53" s="2130"/>
      <c r="AX53" s="2131"/>
      <c r="AY53" s="2129"/>
      <c r="AZ53" s="2130"/>
      <c r="BA53" s="2130"/>
      <c r="BB53" s="2130"/>
      <c r="BC53" s="2130"/>
      <c r="BD53" s="2130"/>
      <c r="BE53" s="2130"/>
      <c r="BF53" s="2130"/>
      <c r="BG53" s="2131"/>
      <c r="BH53" s="2129"/>
      <c r="BI53" s="2130"/>
      <c r="BJ53" s="2130"/>
      <c r="BK53" s="2130"/>
      <c r="BL53" s="2130"/>
      <c r="BM53" s="2130"/>
      <c r="BN53" s="2130"/>
      <c r="BO53" s="2130"/>
      <c r="BP53" s="2131"/>
      <c r="BQ53" s="2129"/>
      <c r="BR53" s="2130"/>
      <c r="BS53" s="2130"/>
      <c r="BT53" s="2130"/>
      <c r="BU53" s="2130"/>
      <c r="BV53" s="2130"/>
      <c r="BW53" s="2130"/>
      <c r="BX53" s="2130"/>
      <c r="BY53" s="2131"/>
      <c r="BZ53" s="2129"/>
      <c r="CA53" s="2130"/>
      <c r="CB53" s="2130"/>
      <c r="CC53" s="2130"/>
      <c r="CD53" s="2130"/>
      <c r="CE53" s="2130"/>
      <c r="CF53" s="2130"/>
      <c r="CG53" s="2130"/>
      <c r="CH53" s="2131"/>
      <c r="CI53" s="2129"/>
      <c r="CJ53" s="2130"/>
      <c r="CK53" s="2130"/>
      <c r="CL53" s="2130"/>
      <c r="CM53" s="2130"/>
      <c r="CN53" s="2130"/>
      <c r="CO53" s="2130"/>
      <c r="CP53" s="2130"/>
      <c r="CQ53" s="2131"/>
      <c r="CR53" s="2129"/>
      <c r="CS53" s="2130"/>
      <c r="CT53" s="2130"/>
      <c r="CU53" s="2130"/>
      <c r="CV53" s="2130"/>
      <c r="CW53" s="2130"/>
      <c r="CX53" s="2130"/>
      <c r="CY53" s="2130"/>
      <c r="CZ53" s="2131"/>
      <c r="DA53" s="2131"/>
      <c r="DB53" s="1402"/>
      <c r="DD53" s="496"/>
      <c r="DE53" s="496" t="str">
        <f>IF(V53="","",V53)</f>
        <v/>
      </c>
      <c r="DF53" s="496"/>
      <c r="DG53" s="496"/>
    </row>
    <row customHeight="1" ht="21">
      <c r="A54" s="1283" t="s">
        <v>193</v>
      </c>
      <c r="B54" s="1283" t="s">
        <v>194</v>
      </c>
      <c r="C54" s="1283" t="s">
        <v>195</v>
      </c>
      <c r="D54" s="1283" t="s">
        <v>196</v>
      </c>
      <c r="E54" s="2150"/>
      <c r="F54" s="2150"/>
      <c r="G54" s="2150"/>
      <c r="H54" s="2152"/>
      <c r="I54" s="1937"/>
      <c r="J54" s="1953" t="str">
        <f>I53&amp;".1"</f>
        <v>1.1.1.1.1.1</v>
      </c>
      <c r="K54" s="1283"/>
      <c r="L54" s="1283"/>
      <c r="M54" s="1327" t="s">
        <v>413</v>
      </c>
      <c r="Q54" s="2093"/>
      <c r="R54" s="2093">
        <v>1</v>
      </c>
      <c r="S54" s="514"/>
      <c r="T54" s="345"/>
      <c r="U54" s="1353" t="str">
        <f>$J54</f>
        <v>1.1.1.1.1.1</v>
      </c>
      <c r="V54" s="267" t="s">
        <v>414</v>
      </c>
      <c r="W54" s="280"/>
      <c r="X54" s="2077"/>
      <c r="Y54" s="2078"/>
      <c r="Z54" s="2078"/>
      <c r="AA54" s="2078"/>
      <c r="AB54" s="2078"/>
      <c r="AC54" s="2070"/>
      <c r="AD54" s="2070"/>
      <c r="AE54" s="2070"/>
      <c r="AF54" s="2153"/>
      <c r="AG54" s="2077" t="s">
        <v>454</v>
      </c>
      <c r="AH54" s="2078"/>
      <c r="AI54" s="2078"/>
      <c r="AJ54" s="2078"/>
      <c r="AK54" s="2078"/>
      <c r="AL54" s="2078"/>
      <c r="AM54" s="2078"/>
      <c r="AN54" s="2078"/>
      <c r="AO54" s="2078"/>
      <c r="AP54" s="2077"/>
      <c r="AQ54" s="2078"/>
      <c r="AR54" s="2078"/>
      <c r="AS54" s="2078"/>
      <c r="AT54" s="2078"/>
      <c r="AU54" s="2070"/>
      <c r="AV54" s="2070"/>
      <c r="AW54" s="2070"/>
      <c r="AX54" s="2153"/>
      <c r="AY54" s="2077"/>
      <c r="AZ54" s="2078"/>
      <c r="BA54" s="2078"/>
      <c r="BB54" s="2078"/>
      <c r="BC54" s="2078"/>
      <c r="BD54" s="2070"/>
      <c r="BE54" s="2070"/>
      <c r="BF54" s="2070"/>
      <c r="BG54" s="2153"/>
      <c r="BH54" s="2077"/>
      <c r="BI54" s="2078"/>
      <c r="BJ54" s="2078"/>
      <c r="BK54" s="2078"/>
      <c r="BL54" s="2078"/>
      <c r="BM54" s="2070"/>
      <c r="BN54" s="2070"/>
      <c r="BO54" s="2070"/>
      <c r="BP54" s="2153"/>
      <c r="BQ54" s="2077"/>
      <c r="BR54" s="2078"/>
      <c r="BS54" s="2078"/>
      <c r="BT54" s="2078"/>
      <c r="BU54" s="2078"/>
      <c r="BV54" s="2070"/>
      <c r="BW54" s="2070"/>
      <c r="BX54" s="2070"/>
      <c r="BY54" s="2153"/>
      <c r="BZ54" s="2077"/>
      <c r="CA54" s="2078"/>
      <c r="CB54" s="2078"/>
      <c r="CC54" s="2078"/>
      <c r="CD54" s="2078"/>
      <c r="CE54" s="2070"/>
      <c r="CF54" s="2070"/>
      <c r="CG54" s="2070"/>
      <c r="CH54" s="2153"/>
      <c r="CI54" s="2077"/>
      <c r="CJ54" s="2078"/>
      <c r="CK54" s="2078"/>
      <c r="CL54" s="2078"/>
      <c r="CM54" s="2078"/>
      <c r="CN54" s="2070"/>
      <c r="CO54" s="2070"/>
      <c r="CP54" s="2070"/>
      <c r="CQ54" s="2153"/>
      <c r="CR54" s="2077"/>
      <c r="CS54" s="2078"/>
      <c r="CT54" s="2078"/>
      <c r="CU54" s="2078"/>
      <c r="CV54" s="2078"/>
      <c r="CW54" s="2070"/>
      <c r="CX54" s="2070"/>
      <c r="CY54" s="2070"/>
      <c r="CZ54" s="2153"/>
      <c r="DA54" s="2079"/>
      <c r="DB54" s="1273" t="s">
        <v>415</v>
      </c>
      <c r="DD54" s="496"/>
      <c r="DE54" s="496" t="str">
        <f>IF(V54="","",V54)</f>
        <v>Группа потребителей</v>
      </c>
      <c r="DF54" s="496"/>
      <c r="DG54" s="496"/>
    </row>
    <row customHeight="1" ht="21">
      <c r="A55" s="1283" t="s">
        <v>193</v>
      </c>
      <c r="B55" s="1283" t="s">
        <v>194</v>
      </c>
      <c r="C55" s="1283" t="s">
        <v>195</v>
      </c>
      <c r="D55" s="1283" t="s">
        <v>196</v>
      </c>
      <c r="E55" s="2150"/>
      <c r="F55" s="2150"/>
      <c r="G55" s="2150"/>
      <c r="H55" s="2152"/>
      <c r="I55" s="1937"/>
      <c r="J55" s="1937"/>
      <c r="K55" s="1953" t="str">
        <f>J54&amp;".1"</f>
        <v>1.1.1.1.1.1.1</v>
      </c>
      <c r="L55" s="119"/>
      <c r="M55" s="1327" t="s">
        <v>416</v>
      </c>
      <c r="Q55" s="2093"/>
      <c r="R55" s="2093"/>
      <c r="S55" s="514">
        <v>1</v>
      </c>
      <c r="T55" s="345"/>
      <c r="U55" s="1353" t="str">
        <f>$K55</f>
        <v>1.1.1.1.1.1.1</v>
      </c>
      <c r="V55" s="1364" t="s">
        <v>455</v>
      </c>
      <c r="W55" s="280"/>
      <c r="X55" s="746"/>
      <c r="Y55" s="746"/>
      <c r="Z55" s="746"/>
      <c r="AA55" s="746"/>
      <c r="AB55" s="1422"/>
      <c r="AC55" s="2094"/>
      <c r="AD55" s="1963" t="s">
        <v>66</v>
      </c>
      <c r="AE55" s="2094"/>
      <c r="AF55" s="1963" t="s">
        <v>66</v>
      </c>
      <c r="AG55" s="1424"/>
      <c r="AH55" s="746">
        <v>39.26</v>
      </c>
      <c r="AI55" s="746">
        <v>2610.92</v>
      </c>
      <c r="AJ55" s="746"/>
      <c r="AK55" s="1272"/>
      <c r="AL55" s="2425">
        <v>45292.59738425926</v>
      </c>
      <c r="AM55" s="1963" t="s">
        <v>66</v>
      </c>
      <c r="AN55" s="2425">
        <v>45473.59741898148</v>
      </c>
      <c r="AO55" s="1963" t="s">
        <v>66</v>
      </c>
      <c r="AP55" s="746"/>
      <c r="AQ55" s="746">
        <v>42.68</v>
      </c>
      <c r="AR55" s="746">
        <v>2822.6</v>
      </c>
      <c r="AS55" s="746"/>
      <c r="AT55" s="1422"/>
      <c r="AU55" s="2425">
        <v>45474.59775462963</v>
      </c>
      <c r="AV55" s="1963" t="s">
        <v>66</v>
      </c>
      <c r="AW55" s="2425">
        <v>45657.5978125</v>
      </c>
      <c r="AX55" s="1963" t="s">
        <v>66</v>
      </c>
      <c r="AY55" s="746"/>
      <c r="AZ55" s="746">
        <f>AQ55</f>
        <v>42.68</v>
      </c>
      <c r="BA55" s="746">
        <v>2765.11</v>
      </c>
      <c r="BB55" s="746"/>
      <c r="BC55" s="1422"/>
      <c r="BD55" s="2425">
        <v>45658.59818287037</v>
      </c>
      <c r="BE55" s="1963" t="s">
        <v>66</v>
      </c>
      <c r="BF55" s="2425">
        <v>45838.59824074074</v>
      </c>
      <c r="BG55" s="1963" t="s">
        <v>66</v>
      </c>
      <c r="BH55" s="746"/>
      <c r="BI55" s="746">
        <v>45.24</v>
      </c>
      <c r="BJ55" s="746">
        <f>BA55</f>
        <v>2765.11</v>
      </c>
      <c r="BK55" s="746"/>
      <c r="BL55" s="1422"/>
      <c r="BM55" s="2425">
        <v>45839.59842592593</v>
      </c>
      <c r="BN55" s="1963" t="s">
        <v>66</v>
      </c>
      <c r="BO55" s="2425">
        <v>46203.5984837963</v>
      </c>
      <c r="BP55" s="1963" t="s">
        <v>66</v>
      </c>
      <c r="BQ55" s="746"/>
      <c r="BR55" s="746">
        <v>47.28</v>
      </c>
      <c r="BS55" s="746">
        <v>2938.25</v>
      </c>
      <c r="BT55" s="746"/>
      <c r="BU55" s="1422"/>
      <c r="BV55" s="2425">
        <v>46204.5990625</v>
      </c>
      <c r="BW55" s="1963" t="s">
        <v>66</v>
      </c>
      <c r="BX55" s="2425">
        <v>46387.599178240744</v>
      </c>
      <c r="BY55" s="1963" t="s">
        <v>66</v>
      </c>
      <c r="BZ55" s="746"/>
      <c r="CA55" s="746">
        <f>BR55</f>
        <v>47.28</v>
      </c>
      <c r="CB55" s="746">
        <v>2855.83</v>
      </c>
      <c r="CC55" s="746"/>
      <c r="CD55" s="1422"/>
      <c r="CE55" s="2425">
        <v>46388.59939814815</v>
      </c>
      <c r="CF55" s="1963" t="s">
        <v>66</v>
      </c>
      <c r="CG55" s="2425">
        <v>46568.59952546296</v>
      </c>
      <c r="CH55" s="1963" t="s">
        <v>66</v>
      </c>
      <c r="CI55" s="746"/>
      <c r="CJ55" s="746">
        <v>49.41</v>
      </c>
      <c r="CK55" s="746">
        <f>CB55</f>
        <v>2855.83</v>
      </c>
      <c r="CL55" s="746"/>
      <c r="CM55" s="1422"/>
      <c r="CN55" s="2425">
        <v>46569.59974537037</v>
      </c>
      <c r="CO55" s="1963" t="s">
        <v>66</v>
      </c>
      <c r="CP55" s="2425">
        <v>46934.599907407406</v>
      </c>
      <c r="CQ55" s="1963" t="s">
        <v>66</v>
      </c>
      <c r="CR55" s="746"/>
      <c r="CS55" s="746">
        <v>51.63</v>
      </c>
      <c r="CT55" s="746">
        <v>3040.08</v>
      </c>
      <c r="CU55" s="746"/>
      <c r="CV55" s="1422"/>
      <c r="CW55" s="2425">
        <v>46935.60016203704</v>
      </c>
      <c r="CX55" s="1963" t="s">
        <v>66</v>
      </c>
      <c r="CY55" s="2425">
        <v>47118.60021990741</v>
      </c>
      <c r="CZ55" s="1963" t="s">
        <v>66</v>
      </c>
      <c r="DA55" s="1365"/>
      <c r="DB55" s="1324" t="s">
        <v>458</v>
      </c>
      <c r="DC55" s="507">
        <f>STRCHECKDATE(X57:DA57)</f>
      </c>
      <c r="DD55" s="496"/>
      <c r="DE55" s="496" t="str">
        <f>IF(V55="","",V55)</f>
        <v>вода</v>
      </c>
      <c r="DF55" s="496"/>
      <c r="DG55" s="496"/>
    </row>
    <row customHeight="1" ht="11.25">
      <c r="A56" s="1283" t="s">
        <v>193</v>
      </c>
      <c r="B56" s="1283" t="s">
        <v>194</v>
      </c>
      <c r="C56" s="1283" t="s">
        <v>195</v>
      </c>
      <c r="D56" s="1283" t="s">
        <v>196</v>
      </c>
      <c r="E56" s="2150"/>
      <c r="F56" s="2150"/>
      <c r="G56" s="2150"/>
      <c r="H56" s="2152"/>
      <c r="I56" s="1937"/>
      <c r="J56" s="1937"/>
      <c r="K56" s="1937"/>
      <c r="L56" s="1953" t="str">
        <f>K55&amp;".1"</f>
        <v>1.1.1.1.1.1.1.1</v>
      </c>
      <c r="M56" s="1327"/>
      <c r="Q56" s="2093"/>
      <c r="R56" s="2093"/>
      <c r="S56" s="514">
        <v>1</v>
      </c>
      <c r="T56" s="345"/>
      <c r="U56" s="1353" t="str">
        <f>$L56</f>
        <v>1.1.1.1.1.1.1.1</v>
      </c>
      <c r="V56" s="1408"/>
      <c r="W56" s="280"/>
      <c r="X56" s="312"/>
      <c r="Y56" s="746"/>
      <c r="Z56" s="746"/>
      <c r="AA56" s="746"/>
      <c r="AB56" s="1422"/>
      <c r="AC56" s="2134"/>
      <c r="AD56" s="1963"/>
      <c r="AE56" s="2134"/>
      <c r="AF56" s="1963"/>
      <c r="AG56" s="1424"/>
      <c r="AH56" s="746"/>
      <c r="AI56" s="746"/>
      <c r="AJ56" s="746"/>
      <c r="AK56" s="1272"/>
      <c r="AL56" s="2134"/>
      <c r="AM56" s="1963"/>
      <c r="AN56" s="2134"/>
      <c r="AO56" s="1963"/>
      <c r="AP56" s="312"/>
      <c r="AQ56" s="746"/>
      <c r="AR56" s="746"/>
      <c r="AS56" s="746"/>
      <c r="AT56" s="1422"/>
      <c r="AU56" s="2134"/>
      <c r="AV56" s="1963"/>
      <c r="AW56" s="2134"/>
      <c r="AX56" s="1963"/>
      <c r="AY56" s="312"/>
      <c r="AZ56" s="746"/>
      <c r="BA56" s="746"/>
      <c r="BB56" s="746"/>
      <c r="BC56" s="1422"/>
      <c r="BD56" s="2134"/>
      <c r="BE56" s="1963"/>
      <c r="BF56" s="2134"/>
      <c r="BG56" s="1963"/>
      <c r="BH56" s="312"/>
      <c r="BI56" s="746"/>
      <c r="BJ56" s="746"/>
      <c r="BK56" s="746"/>
      <c r="BL56" s="1422"/>
      <c r="BM56" s="2134"/>
      <c r="BN56" s="1963"/>
      <c r="BO56" s="2134"/>
      <c r="BP56" s="1963"/>
      <c r="BQ56" s="312"/>
      <c r="BR56" s="746"/>
      <c r="BS56" s="746"/>
      <c r="BT56" s="746"/>
      <c r="BU56" s="1422"/>
      <c r="BV56" s="2134"/>
      <c r="BW56" s="1963"/>
      <c r="BX56" s="2134"/>
      <c r="BY56" s="1963"/>
      <c r="BZ56" s="312"/>
      <c r="CA56" s="746"/>
      <c r="CB56" s="746"/>
      <c r="CC56" s="746"/>
      <c r="CD56" s="1422"/>
      <c r="CE56" s="2134"/>
      <c r="CF56" s="1963"/>
      <c r="CG56" s="2134"/>
      <c r="CH56" s="1963"/>
      <c r="CI56" s="312"/>
      <c r="CJ56" s="746"/>
      <c r="CK56" s="746"/>
      <c r="CL56" s="746"/>
      <c r="CM56" s="1422"/>
      <c r="CN56" s="2134"/>
      <c r="CO56" s="1963"/>
      <c r="CP56" s="2134"/>
      <c r="CQ56" s="1963"/>
      <c r="CR56" s="312"/>
      <c r="CS56" s="746"/>
      <c r="CT56" s="746"/>
      <c r="CU56" s="746"/>
      <c r="CV56" s="1422"/>
      <c r="CW56" s="2134"/>
      <c r="CX56" s="1963"/>
      <c r="CY56" s="2134"/>
      <c r="CZ56" s="1963"/>
      <c r="DA56" s="1365"/>
      <c r="DB56" s="2119" t="s">
        <v>459</v>
      </c>
      <c r="DC56" s="507">
        <f>STRCHECKDATE(X58:DA58)</f>
      </c>
      <c r="DD56" s="496"/>
      <c r="DE56" s="496" t="str">
        <f>IF(V56="","",V56)</f>
        <v/>
      </c>
      <c r="DF56" s="496"/>
      <c r="DG56" s="496"/>
    </row>
    <row customHeight="1" ht="0">
      <c r="A57" s="1283" t="s">
        <v>193</v>
      </c>
      <c r="B57" s="1283" t="s">
        <v>194</v>
      </c>
      <c r="C57" s="1283" t="s">
        <v>195</v>
      </c>
      <c r="D57" s="1283" t="s">
        <v>196</v>
      </c>
      <c r="E57" s="2150"/>
      <c r="F57" s="2150"/>
      <c r="G57" s="2150"/>
      <c r="H57" s="2152"/>
      <c r="I57" s="1937"/>
      <c r="J57" s="1937"/>
      <c r="K57" s="1937"/>
      <c r="L57" s="1953"/>
      <c r="M57" s="1327"/>
      <c r="Q57" s="2093"/>
      <c r="R57" s="2093"/>
      <c r="S57" s="514"/>
      <c r="T57" s="345"/>
      <c r="U57" s="1359"/>
      <c r="V57" s="280"/>
      <c r="W57" s="280"/>
      <c r="X57" s="312"/>
      <c r="Y57" s="312"/>
      <c r="Z57" s="312"/>
      <c r="AA57" s="312"/>
      <c r="AB57" s="1423" t="str">
        <f>AC55&amp;"-"&amp;AE55</f>
        <v>-</v>
      </c>
      <c r="AC57" s="2134"/>
      <c r="AD57" s="1963"/>
      <c r="AE57" s="2134"/>
      <c r="AF57" s="1963"/>
      <c r="AG57" s="1399"/>
      <c r="AH57" s="312"/>
      <c r="AI57" s="312"/>
      <c r="AJ57" s="312"/>
      <c r="AK57" s="316" t="str">
        <f>AL55&amp;"-"&amp;AN55</f>
        <v>45292.59738425926-45473.59741898148</v>
      </c>
      <c r="AL57" s="2134"/>
      <c r="AM57" s="1963"/>
      <c r="AN57" s="2134"/>
      <c r="AO57" s="1963"/>
      <c r="AP57" s="312"/>
      <c r="AQ57" s="312"/>
      <c r="AR57" s="312"/>
      <c r="AS57" s="312"/>
      <c r="AT57" s="1423" t="str">
        <f>AU55&amp;"-"&amp;AW55</f>
        <v>45474.59775462963-45657.5978125</v>
      </c>
      <c r="AU57" s="2134"/>
      <c r="AV57" s="1963"/>
      <c r="AW57" s="2134"/>
      <c r="AX57" s="1963"/>
      <c r="AY57" s="312"/>
      <c r="AZ57" s="312"/>
      <c r="BA57" s="312"/>
      <c r="BB57" s="312"/>
      <c r="BC57" s="1423" t="str">
        <f>BD55&amp;"-"&amp;BF55</f>
        <v>45658.59818287037-45838.59824074074</v>
      </c>
      <c r="BD57" s="2134"/>
      <c r="BE57" s="1963"/>
      <c r="BF57" s="2134"/>
      <c r="BG57" s="1963"/>
      <c r="BH57" s="312"/>
      <c r="BI57" s="312"/>
      <c r="BJ57" s="312"/>
      <c r="BK57" s="312"/>
      <c r="BL57" s="1423" t="str">
        <f>BM55&amp;"-"&amp;BO55</f>
        <v>45839.59842592593-46203.5984837963</v>
      </c>
      <c r="BM57" s="2134"/>
      <c r="BN57" s="1963"/>
      <c r="BO57" s="2134"/>
      <c r="BP57" s="1963"/>
      <c r="BQ57" s="312"/>
      <c r="BR57" s="312"/>
      <c r="BS57" s="312"/>
      <c r="BT57" s="312"/>
      <c r="BU57" s="1423" t="str">
        <f>BV55&amp;"-"&amp;BX55</f>
        <v>46204.5990625-46387.599178240744</v>
      </c>
      <c r="BV57" s="2134"/>
      <c r="BW57" s="1963"/>
      <c r="BX57" s="2134"/>
      <c r="BY57" s="1963"/>
      <c r="BZ57" s="312"/>
      <c r="CA57" s="312"/>
      <c r="CB57" s="312"/>
      <c r="CC57" s="312"/>
      <c r="CD57" s="1423" t="str">
        <f>CE55&amp;"-"&amp;CG55</f>
        <v>46388.59939814815-46568.59952546296</v>
      </c>
      <c r="CE57" s="2134"/>
      <c r="CF57" s="1963"/>
      <c r="CG57" s="2134"/>
      <c r="CH57" s="1963"/>
      <c r="CI57" s="312"/>
      <c r="CJ57" s="312"/>
      <c r="CK57" s="312"/>
      <c r="CL57" s="312"/>
      <c r="CM57" s="1423" t="str">
        <f>CN55&amp;"-"&amp;CP55</f>
        <v>46569.59974537037-46934.599907407406</v>
      </c>
      <c r="CN57" s="2134"/>
      <c r="CO57" s="1963"/>
      <c r="CP57" s="2134"/>
      <c r="CQ57" s="1963"/>
      <c r="CR57" s="312"/>
      <c r="CS57" s="312"/>
      <c r="CT57" s="312"/>
      <c r="CU57" s="312"/>
      <c r="CV57" s="1423" t="str">
        <f>CW55&amp;"-"&amp;CY55</f>
        <v>46935.60016203704-47118.60021990741</v>
      </c>
      <c r="CW57" s="2134"/>
      <c r="CX57" s="1963"/>
      <c r="CY57" s="2134"/>
      <c r="CZ57" s="1963"/>
      <c r="DA57" s="1366"/>
      <c r="DB57" s="2120"/>
      <c r="DD57" s="496"/>
      <c r="DE57" s="496" t="str">
        <f>IF(V57="","",V57)</f>
        <v/>
      </c>
      <c r="DF57" s="496"/>
      <c r="DG57" s="496"/>
    </row>
    <row customHeight="1" ht="11.25">
      <c r="A58" s="1283" t="s">
        <v>193</v>
      </c>
      <c r="B58" s="1283" t="s">
        <v>194</v>
      </c>
      <c r="C58" s="1283" t="s">
        <v>195</v>
      </c>
      <c r="D58" s="1283" t="s">
        <v>196</v>
      </c>
      <c r="E58" s="2150"/>
      <c r="F58" s="2150"/>
      <c r="G58" s="2150"/>
      <c r="H58" s="2152"/>
      <c r="I58" s="1937"/>
      <c r="J58" s="1937"/>
      <c r="K58" s="1953"/>
      <c r="L58" s="1283"/>
      <c r="M58" s="1327"/>
      <c r="Q58" s="2093"/>
      <c r="R58" s="2093"/>
      <c r="S58" s="1348"/>
      <c r="T58" s="344"/>
      <c r="U58" s="1295"/>
      <c r="V58" s="269" t="s">
        <v>460</v>
      </c>
      <c r="W58" s="359"/>
      <c r="X58" s="359"/>
      <c r="Y58" s="359"/>
      <c r="Z58" s="359"/>
      <c r="AA58" s="359"/>
      <c r="AB58" s="359"/>
      <c r="AC58" s="2134"/>
      <c r="AD58" s="1963"/>
      <c r="AE58" s="2134"/>
      <c r="AF58" s="1963"/>
      <c r="AG58" s="359"/>
      <c r="AH58" s="359"/>
      <c r="AI58" s="359"/>
      <c r="AJ58" s="359"/>
      <c r="AK58" s="359"/>
      <c r="AL58" s="2134"/>
      <c r="AM58" s="1963"/>
      <c r="AN58" s="2134"/>
      <c r="AO58" s="1963"/>
      <c r="AP58" s="3763"/>
      <c r="AQ58" s="3764"/>
      <c r="AR58" s="3765"/>
      <c r="AS58" s="3766"/>
      <c r="AT58" s="3767"/>
      <c r="AU58" s="2134"/>
      <c r="AV58" s="1963"/>
      <c r="AW58" s="2134"/>
      <c r="AX58" s="1963"/>
      <c r="AY58" s="3768"/>
      <c r="AZ58" s="3769"/>
      <c r="BA58" s="3770"/>
      <c r="BB58" s="3771"/>
      <c r="BC58" s="3772"/>
      <c r="BD58" s="2134"/>
      <c r="BE58" s="1963"/>
      <c r="BF58" s="2134"/>
      <c r="BG58" s="1963"/>
      <c r="BH58" s="3773"/>
      <c r="BI58" s="3774"/>
      <c r="BJ58" s="3775"/>
      <c r="BK58" s="3776"/>
      <c r="BL58" s="3777"/>
      <c r="BM58" s="2134"/>
      <c r="BN58" s="1963"/>
      <c r="BO58" s="2134"/>
      <c r="BP58" s="1963"/>
      <c r="BQ58" s="3778"/>
      <c r="BR58" s="3779"/>
      <c r="BS58" s="3780"/>
      <c r="BT58" s="3781"/>
      <c r="BU58" s="3782"/>
      <c r="BV58" s="2134"/>
      <c r="BW58" s="1963"/>
      <c r="BX58" s="2134"/>
      <c r="BY58" s="1963"/>
      <c r="BZ58" s="3783"/>
      <c r="CA58" s="3784"/>
      <c r="CB58" s="3785"/>
      <c r="CC58" s="3786"/>
      <c r="CD58" s="3787"/>
      <c r="CE58" s="2134"/>
      <c r="CF58" s="1963"/>
      <c r="CG58" s="2134"/>
      <c r="CH58" s="1963"/>
      <c r="CI58" s="3788"/>
      <c r="CJ58" s="3789"/>
      <c r="CK58" s="3790"/>
      <c r="CL58" s="3791"/>
      <c r="CM58" s="3792"/>
      <c r="CN58" s="2134"/>
      <c r="CO58" s="1963"/>
      <c r="CP58" s="2134"/>
      <c r="CQ58" s="1963"/>
      <c r="CR58" s="3793"/>
      <c r="CS58" s="3794"/>
      <c r="CT58" s="3795"/>
      <c r="CU58" s="3796"/>
      <c r="CV58" s="3797"/>
      <c r="CW58" s="2134"/>
      <c r="CX58" s="1963"/>
      <c r="CY58" s="2134"/>
      <c r="CZ58" s="1963"/>
      <c r="DA58" s="311"/>
      <c r="DB58" s="2120"/>
      <c r="DD58" s="496"/>
      <c r="DE58" s="496" t="str">
        <f>IF(V58="","",V58)</f>
        <v>Добавить наименование поставщика</v>
      </c>
      <c r="DF58" s="496"/>
      <c r="DG58" s="496"/>
    </row>
    <row customHeight="1" ht="11.25">
      <c r="A59" s="1283" t="s">
        <v>193</v>
      </c>
      <c r="B59" s="1283" t="s">
        <v>194</v>
      </c>
      <c r="C59" s="1283" t="s">
        <v>195</v>
      </c>
      <c r="D59" s="1283" t="s">
        <v>196</v>
      </c>
      <c r="E59" s="2150"/>
      <c r="F59" s="2150"/>
      <c r="G59" s="2150"/>
      <c r="H59" s="2152"/>
      <c r="I59" s="1937"/>
      <c r="J59" s="1953"/>
      <c r="K59" s="1283"/>
      <c r="L59" s="1283"/>
      <c r="M59" s="1327"/>
      <c r="Q59" s="2093"/>
      <c r="R59" s="2093"/>
      <c r="S59" s="1348"/>
      <c r="T59" s="344"/>
      <c r="U59" s="1295"/>
      <c r="V59" s="268" t="s">
        <v>418</v>
      </c>
      <c r="W59" s="359"/>
      <c r="X59" s="359"/>
      <c r="Y59" s="359"/>
      <c r="Z59" s="359"/>
      <c r="AA59" s="359"/>
      <c r="AB59" s="359"/>
      <c r="AC59" s="1425"/>
      <c r="AD59" s="1425"/>
      <c r="AE59" s="1425"/>
      <c r="AF59" s="1425"/>
      <c r="AG59" s="359"/>
      <c r="AH59" s="359"/>
      <c r="AI59" s="359"/>
      <c r="AJ59" s="359"/>
      <c r="AK59" s="359"/>
      <c r="AL59" s="359"/>
      <c r="AM59" s="359"/>
      <c r="AN59" s="359"/>
      <c r="AO59" s="359"/>
      <c r="AP59" s="3798"/>
      <c r="AQ59" s="3799"/>
      <c r="AR59" s="3800"/>
      <c r="AS59" s="3801"/>
      <c r="AT59" s="3802"/>
      <c r="AU59" s="3803"/>
      <c r="AV59" s="3804"/>
      <c r="AW59" s="3805"/>
      <c r="AX59" s="3806"/>
      <c r="AY59" s="3807"/>
      <c r="AZ59" s="3808"/>
      <c r="BA59" s="3809"/>
      <c r="BB59" s="3810"/>
      <c r="BC59" s="3811"/>
      <c r="BD59" s="3812"/>
      <c r="BE59" s="3813"/>
      <c r="BF59" s="3814"/>
      <c r="BG59" s="3815"/>
      <c r="BH59" s="3816"/>
      <c r="BI59" s="3817"/>
      <c r="BJ59" s="3818"/>
      <c r="BK59" s="3819"/>
      <c r="BL59" s="3820"/>
      <c r="BM59" s="3821"/>
      <c r="BN59" s="3822"/>
      <c r="BO59" s="3823"/>
      <c r="BP59" s="3824"/>
      <c r="BQ59" s="3825"/>
      <c r="BR59" s="3826"/>
      <c r="BS59" s="3827"/>
      <c r="BT59" s="3828"/>
      <c r="BU59" s="3829"/>
      <c r="BV59" s="3830"/>
      <c r="BW59" s="3831"/>
      <c r="BX59" s="3832"/>
      <c r="BY59" s="3833"/>
      <c r="BZ59" s="3834"/>
      <c r="CA59" s="3835"/>
      <c r="CB59" s="3836"/>
      <c r="CC59" s="3837"/>
      <c r="CD59" s="3838"/>
      <c r="CE59" s="3839"/>
      <c r="CF59" s="3840"/>
      <c r="CG59" s="3841"/>
      <c r="CH59" s="3842"/>
      <c r="CI59" s="3843"/>
      <c r="CJ59" s="3844"/>
      <c r="CK59" s="3845"/>
      <c r="CL59" s="3846"/>
      <c r="CM59" s="3847"/>
      <c r="CN59" s="3848"/>
      <c r="CO59" s="3849"/>
      <c r="CP59" s="3850"/>
      <c r="CQ59" s="3851"/>
      <c r="CR59" s="3852"/>
      <c r="CS59" s="3853"/>
      <c r="CT59" s="3854"/>
      <c r="CU59" s="3855"/>
      <c r="CV59" s="3856"/>
      <c r="CW59" s="3857"/>
      <c r="CX59" s="3858"/>
      <c r="CY59" s="3859"/>
      <c r="CZ59" s="3860"/>
      <c r="DA59" s="311"/>
      <c r="DB59" s="2121"/>
      <c r="DD59" s="496"/>
      <c r="DE59" s="496" t="str">
        <f>IF(V59="","",V59)</f>
        <v>Добавить вид теплоносителя (параметры теплоносителя)</v>
      </c>
      <c r="DF59" s="496"/>
      <c r="DG59" s="496"/>
    </row>
    <row s="2437" customFormat="1" customHeight="1" ht="21">
      <c r="A60" s="1283"/>
      <c r="B60" s="1283"/>
      <c r="C60" s="1283"/>
      <c r="D60" s="1283"/>
      <c r="E60" s="2152"/>
      <c r="F60" s="2152"/>
      <c r="G60" s="2152"/>
      <c r="H60" s="2152"/>
      <c r="I60" s="1937"/>
      <c r="J60" s="2017" t="str">
        <f>I53&amp;".2"</f>
        <v>1.1.1.1.1.2</v>
      </c>
      <c r="K60" s="1283"/>
      <c r="L60" s="1283"/>
      <c r="M60" s="2029" t="s">
        <v>413</v>
      </c>
      <c r="N60" s="1660"/>
      <c r="O60" s="1660"/>
      <c r="P60" s="2216"/>
      <c r="Q60" s="2205"/>
      <c r="R60" s="678" t="s">
        <v>169</v>
      </c>
      <c r="S60" s="1667"/>
      <c r="T60" s="345"/>
      <c r="U60" s="2107" t="str">
        <f>$J60</f>
        <v>1.1.1.1.1.2</v>
      </c>
      <c r="V60" s="267" t="s">
        <v>414</v>
      </c>
      <c r="W60" s="280"/>
      <c r="X60" s="2077"/>
      <c r="Y60" s="2078"/>
      <c r="Z60" s="2078"/>
      <c r="AA60" s="2078"/>
      <c r="AB60" s="2078"/>
      <c r="AC60" s="2070"/>
      <c r="AD60" s="2070"/>
      <c r="AE60" s="2070"/>
      <c r="AF60" s="2153"/>
      <c r="AG60" s="2077" t="s">
        <v>456</v>
      </c>
      <c r="AH60" s="2078"/>
      <c r="AI60" s="2078"/>
      <c r="AJ60" s="2078"/>
      <c r="AK60" s="2078"/>
      <c r="AL60" s="2078"/>
      <c r="AM60" s="2078"/>
      <c r="AN60" s="2078"/>
      <c r="AO60" s="2078"/>
      <c r="AP60" s="2077"/>
      <c r="AQ60" s="2078"/>
      <c r="AR60" s="2078"/>
      <c r="AS60" s="2078"/>
      <c r="AT60" s="2078"/>
      <c r="AU60" s="2070"/>
      <c r="AV60" s="2070"/>
      <c r="AW60" s="2070"/>
      <c r="AX60" s="2153"/>
      <c r="AY60" s="2077"/>
      <c r="AZ60" s="2078"/>
      <c r="BA60" s="2078"/>
      <c r="BB60" s="2078"/>
      <c r="BC60" s="2078"/>
      <c r="BD60" s="2070"/>
      <c r="BE60" s="2070"/>
      <c r="BF60" s="2070"/>
      <c r="BG60" s="2153"/>
      <c r="BH60" s="2077"/>
      <c r="BI60" s="2078"/>
      <c r="BJ60" s="2078"/>
      <c r="BK60" s="2078"/>
      <c r="BL60" s="2078"/>
      <c r="BM60" s="2070"/>
      <c r="BN60" s="2070"/>
      <c r="BO60" s="2070"/>
      <c r="BP60" s="2153"/>
      <c r="BQ60" s="2077"/>
      <c r="BR60" s="2078"/>
      <c r="BS60" s="2078"/>
      <c r="BT60" s="2078"/>
      <c r="BU60" s="2078"/>
      <c r="BV60" s="2070"/>
      <c r="BW60" s="2070"/>
      <c r="BX60" s="2070"/>
      <c r="BY60" s="2153"/>
      <c r="BZ60" s="2077"/>
      <c r="CA60" s="2078"/>
      <c r="CB60" s="2078"/>
      <c r="CC60" s="2078"/>
      <c r="CD60" s="2078"/>
      <c r="CE60" s="2070"/>
      <c r="CF60" s="2070"/>
      <c r="CG60" s="2070"/>
      <c r="CH60" s="2153"/>
      <c r="CI60" s="2077"/>
      <c r="CJ60" s="2078"/>
      <c r="CK60" s="2078"/>
      <c r="CL60" s="2078"/>
      <c r="CM60" s="2078"/>
      <c r="CN60" s="2070"/>
      <c r="CO60" s="2070"/>
      <c r="CP60" s="2070"/>
      <c r="CQ60" s="2153"/>
      <c r="CR60" s="2077"/>
      <c r="CS60" s="2078"/>
      <c r="CT60" s="2078"/>
      <c r="CU60" s="2078"/>
      <c r="CV60" s="2078"/>
      <c r="CW60" s="2070"/>
      <c r="CX60" s="2070"/>
      <c r="CY60" s="2070"/>
      <c r="CZ60" s="2153"/>
      <c r="DA60" s="2079"/>
      <c r="DB60" s="1273" t="s">
        <v>415</v>
      </c>
      <c r="DC60" s="1667"/>
      <c r="DD60" s="1649"/>
      <c r="DE60" s="1649" t="str">
        <f>IF(V60="","",V60)</f>
        <v>Группа потребителей</v>
      </c>
      <c r="DF60" s="1649"/>
      <c r="DG60" s="1649"/>
    </row>
    <row s="2437" customFormat="1" customHeight="1" ht="21">
      <c r="A61" s="1283"/>
      <c r="B61" s="1283"/>
      <c r="C61" s="1283"/>
      <c r="D61" s="1283"/>
      <c r="E61" s="2152"/>
      <c r="F61" s="2152"/>
      <c r="G61" s="2152"/>
      <c r="H61" s="2152"/>
      <c r="I61" s="1937"/>
      <c r="J61" s="1937" t="str">
        <f>I53&amp;".1"</f>
        <v>1.1.1.1.1.1</v>
      </c>
      <c r="K61" s="2017" t="str">
        <f>J60&amp;".1"</f>
        <v>1.1.1.1.1.2.1</v>
      </c>
      <c r="L61" s="1951"/>
      <c r="M61" s="2029" t="s">
        <v>416</v>
      </c>
      <c r="N61" s="1660"/>
      <c r="O61" s="1660"/>
      <c r="P61" s="1660"/>
      <c r="Q61" s="2205"/>
      <c r="R61" s="2205"/>
      <c r="S61" s="2205">
        <v>1</v>
      </c>
      <c r="T61" s="345"/>
      <c r="U61" s="2107" t="str">
        <f>$K61</f>
        <v>1.1.1.1.1.2.1</v>
      </c>
      <c r="V61" s="1364" t="s">
        <v>455</v>
      </c>
      <c r="W61" s="280"/>
      <c r="X61" s="746"/>
      <c r="Y61" s="746"/>
      <c r="Z61" s="746"/>
      <c r="AA61" s="746"/>
      <c r="AB61" s="1422"/>
      <c r="AC61" s="2425"/>
      <c r="AD61" s="1963" t="s">
        <v>66</v>
      </c>
      <c r="AE61" s="2425"/>
      <c r="AF61" s="1963" t="s">
        <v>66</v>
      </c>
      <c r="AG61" s="1424"/>
      <c r="AH61" s="746"/>
      <c r="AI61" s="746">
        <v>3162.84</v>
      </c>
      <c r="AJ61" s="746"/>
      <c r="AK61" s="1272"/>
      <c r="AL61" s="2425">
        <v>45292.6006712963</v>
      </c>
      <c r="AM61" s="1963" t="s">
        <v>66</v>
      </c>
      <c r="AN61" s="2425">
        <v>45473.60070601852</v>
      </c>
      <c r="AO61" s="1963" t="s">
        <v>66</v>
      </c>
      <c r="AP61" s="746"/>
      <c r="AQ61" s="746"/>
      <c r="AR61" s="746">
        <v>3421.57</v>
      </c>
      <c r="AS61" s="746"/>
      <c r="AT61" s="1422"/>
      <c r="AU61" s="2425">
        <v>45474.60084490741</v>
      </c>
      <c r="AV61" s="1963" t="s">
        <v>66</v>
      </c>
      <c r="AW61" s="2425">
        <v>45657.600960648146</v>
      </c>
      <c r="AX61" s="1963" t="s">
        <v>66</v>
      </c>
      <c r="AY61" s="746"/>
      <c r="AZ61" s="746"/>
      <c r="BA61" s="746">
        <v>3345.66</v>
      </c>
      <c r="BB61" s="746"/>
      <c r="BC61" s="1422"/>
      <c r="BD61" s="2425">
        <v>45658.601168981484</v>
      </c>
      <c r="BE61" s="1963" t="s">
        <v>66</v>
      </c>
      <c r="BF61" s="2425">
        <v>45838.60123842592</v>
      </c>
      <c r="BG61" s="1963" t="s">
        <v>66</v>
      </c>
      <c r="BH61" s="746"/>
      <c r="BI61" s="746"/>
      <c r="BJ61" s="746">
        <v>3354.66</v>
      </c>
      <c r="BK61" s="746"/>
      <c r="BL61" s="1422"/>
      <c r="BM61" s="2425">
        <v>45839.60145833333</v>
      </c>
      <c r="BN61" s="1963" t="s">
        <v>66</v>
      </c>
      <c r="BO61" s="2425">
        <v>46203.60152777778</v>
      </c>
      <c r="BP61" s="1963" t="s">
        <v>66</v>
      </c>
      <c r="BQ61" s="746"/>
      <c r="BR61" s="746"/>
      <c r="BS61" s="746">
        <v>3564.07</v>
      </c>
      <c r="BT61" s="746"/>
      <c r="BU61" s="1422"/>
      <c r="BV61" s="2425">
        <v>46204.60175925926</v>
      </c>
      <c r="BW61" s="1963" t="s">
        <v>66</v>
      </c>
      <c r="BX61" s="2425">
        <v>46387.601875</v>
      </c>
      <c r="BY61" s="1963" t="s">
        <v>66</v>
      </c>
      <c r="BZ61" s="746"/>
      <c r="CA61" s="746"/>
      <c r="CB61" s="746">
        <v>3457.5</v>
      </c>
      <c r="CC61" s="746"/>
      <c r="CD61" s="1422"/>
      <c r="CE61" s="2425">
        <v>46388.60202546296</v>
      </c>
      <c r="CF61" s="1963" t="s">
        <v>66</v>
      </c>
      <c r="CG61" s="2425">
        <v>46568.602222222224</v>
      </c>
      <c r="CH61" s="1963" t="s">
        <v>66</v>
      </c>
      <c r="CI61" s="746"/>
      <c r="CJ61" s="746"/>
      <c r="CK61" s="746">
        <v>3466.88</v>
      </c>
      <c r="CL61" s="746"/>
      <c r="CM61" s="1422"/>
      <c r="CN61" s="2425">
        <v>46569.602430555555</v>
      </c>
      <c r="CO61" s="1963" t="s">
        <v>66</v>
      </c>
      <c r="CP61" s="2425">
        <v>46934.60252314815</v>
      </c>
      <c r="CQ61" s="1963" t="s">
        <v>66</v>
      </c>
      <c r="CR61" s="746"/>
      <c r="CS61" s="746"/>
      <c r="CT61" s="746">
        <v>3689.77</v>
      </c>
      <c r="CU61" s="746"/>
      <c r="CV61" s="1422"/>
      <c r="CW61" s="2425">
        <v>46935.6027662037</v>
      </c>
      <c r="CX61" s="1963" t="s">
        <v>66</v>
      </c>
      <c r="CY61" s="2425">
        <v>47118.60283564815</v>
      </c>
      <c r="CZ61" s="1963" t="s">
        <v>66</v>
      </c>
      <c r="DA61" s="312"/>
      <c r="DB61" s="1324" t="s">
        <v>458</v>
      </c>
      <c r="DC61" s="1667">
        <f>STRCHECKDATE(X63:DA63)</f>
      </c>
      <c r="DD61" s="1649"/>
      <c r="DE61" s="1649" t="str">
        <f>IF(V61="","",V61)</f>
        <v>вода</v>
      </c>
      <c r="DF61" s="1649"/>
      <c r="DG61" s="1649"/>
    </row>
    <row s="2437" customFormat="1" customHeight="1" ht="21">
      <c r="A62" s="1283"/>
      <c r="B62" s="1283"/>
      <c r="C62" s="1283"/>
      <c r="D62" s="1283"/>
      <c r="E62" s="2152"/>
      <c r="F62" s="2152"/>
      <c r="G62" s="2152"/>
      <c r="H62" s="2152"/>
      <c r="I62" s="1937"/>
      <c r="J62" s="1937" t="str">
        <f>I53&amp;".1"</f>
        <v>1.1.1.1.1.1</v>
      </c>
      <c r="K62" s="1937"/>
      <c r="L62" s="2017" t="str">
        <f>K61&amp;".1"</f>
        <v>1.1.1.1.1.2.1.1</v>
      </c>
      <c r="M62" s="2029"/>
      <c r="N62" s="1660"/>
      <c r="O62" s="1660"/>
      <c r="P62" s="1660"/>
      <c r="Q62" s="2205"/>
      <c r="R62" s="2205"/>
      <c r="S62" s="2205"/>
      <c r="T62" s="345"/>
      <c r="U62" s="2107" t="str">
        <f>$L62</f>
        <v>1.1.1.1.1.2.1.1</v>
      </c>
      <c r="V62" s="1408"/>
      <c r="W62" s="280"/>
      <c r="X62" s="312"/>
      <c r="Y62" s="746"/>
      <c r="Z62" s="746"/>
      <c r="AA62" s="746"/>
      <c r="AB62" s="1422"/>
      <c r="AC62" s="2134"/>
      <c r="AD62" s="1963"/>
      <c r="AE62" s="2134"/>
      <c r="AF62" s="1963"/>
      <c r="AG62" s="1424"/>
      <c r="AH62" s="746"/>
      <c r="AI62" s="746"/>
      <c r="AJ62" s="746"/>
      <c r="AK62" s="1272"/>
      <c r="AL62" s="2134"/>
      <c r="AM62" s="1963"/>
      <c r="AN62" s="2134"/>
      <c r="AO62" s="1963"/>
      <c r="AP62" s="312"/>
      <c r="AQ62" s="746"/>
      <c r="AR62" s="746"/>
      <c r="AS62" s="746"/>
      <c r="AT62" s="1422"/>
      <c r="AU62" s="2134"/>
      <c r="AV62" s="1963"/>
      <c r="AW62" s="2134"/>
      <c r="AX62" s="1963"/>
      <c r="AY62" s="312"/>
      <c r="AZ62" s="746"/>
      <c r="BA62" s="746"/>
      <c r="BB62" s="746"/>
      <c r="BC62" s="1422"/>
      <c r="BD62" s="2134"/>
      <c r="BE62" s="1963"/>
      <c r="BF62" s="2134"/>
      <c r="BG62" s="1963"/>
      <c r="BH62" s="312"/>
      <c r="BI62" s="746"/>
      <c r="BJ62" s="746"/>
      <c r="BK62" s="746"/>
      <c r="BL62" s="1422"/>
      <c r="BM62" s="2134"/>
      <c r="BN62" s="1963"/>
      <c r="BO62" s="2134"/>
      <c r="BP62" s="1963"/>
      <c r="BQ62" s="312"/>
      <c r="BR62" s="746"/>
      <c r="BS62" s="746"/>
      <c r="BT62" s="746"/>
      <c r="BU62" s="1422"/>
      <c r="BV62" s="2134"/>
      <c r="BW62" s="1963"/>
      <c r="BX62" s="2134"/>
      <c r="BY62" s="1963"/>
      <c r="BZ62" s="312"/>
      <c r="CA62" s="746"/>
      <c r="CB62" s="746"/>
      <c r="CC62" s="746"/>
      <c r="CD62" s="1422"/>
      <c r="CE62" s="2134"/>
      <c r="CF62" s="1963"/>
      <c r="CG62" s="2134"/>
      <c r="CH62" s="1963"/>
      <c r="CI62" s="312"/>
      <c r="CJ62" s="746"/>
      <c r="CK62" s="746"/>
      <c r="CL62" s="746"/>
      <c r="CM62" s="1422"/>
      <c r="CN62" s="2134"/>
      <c r="CO62" s="1963"/>
      <c r="CP62" s="2134"/>
      <c r="CQ62" s="1963"/>
      <c r="CR62" s="312"/>
      <c r="CS62" s="746"/>
      <c r="CT62" s="746"/>
      <c r="CU62" s="746"/>
      <c r="CV62" s="1422"/>
      <c r="CW62" s="2134"/>
      <c r="CX62" s="1963"/>
      <c r="CY62" s="2134"/>
      <c r="CZ62" s="1963"/>
      <c r="DA62" s="312"/>
      <c r="DB62" s="2119" t="s">
        <v>459</v>
      </c>
      <c r="DC62" s="1667"/>
      <c r="DD62" s="1649"/>
      <c r="DE62" s="1649"/>
      <c r="DF62" s="1649"/>
      <c r="DG62" s="1649"/>
    </row>
    <row s="2437" customFormat="1" customHeight="1" ht="14.25">
      <c r="A63" s="1283"/>
      <c r="B63" s="1283"/>
      <c r="C63" s="1283"/>
      <c r="D63" s="1283"/>
      <c r="E63" s="2152"/>
      <c r="F63" s="2152"/>
      <c r="G63" s="2152"/>
      <c r="H63" s="2152"/>
      <c r="I63" s="1937"/>
      <c r="J63" s="1937" t="str">
        <f>I53&amp;".1"</f>
        <v>1.1.1.1.1.1</v>
      </c>
      <c r="K63" s="1937"/>
      <c r="L63" s="2017"/>
      <c r="M63" s="2029"/>
      <c r="N63" s="1660"/>
      <c r="O63" s="1660"/>
      <c r="P63" s="1660"/>
      <c r="Q63" s="2205"/>
      <c r="R63" s="2205"/>
      <c r="S63" s="2205"/>
      <c r="T63" s="345"/>
      <c r="U63" s="2349"/>
      <c r="V63" s="280"/>
      <c r="W63" s="280"/>
      <c r="X63" s="312"/>
      <c r="Y63" s="312"/>
      <c r="Z63" s="312"/>
      <c r="AA63" s="312"/>
      <c r="AB63" s="1423" t="str">
        <f>AC61&amp;"-"&amp;AE61</f>
        <v>-</v>
      </c>
      <c r="AC63" s="2134"/>
      <c r="AD63" s="1963"/>
      <c r="AE63" s="2134"/>
      <c r="AF63" s="1963"/>
      <c r="AG63" s="1399"/>
      <c r="AH63" s="312"/>
      <c r="AI63" s="312"/>
      <c r="AJ63" s="312"/>
      <c r="AK63" s="316" t="str">
        <f>AL61&amp;"-"&amp;AN61</f>
        <v>45292.6006712963-45473.60070601852</v>
      </c>
      <c r="AL63" s="2134"/>
      <c r="AM63" s="1963"/>
      <c r="AN63" s="2134"/>
      <c r="AO63" s="1963"/>
      <c r="AP63" s="312"/>
      <c r="AQ63" s="312"/>
      <c r="AR63" s="312"/>
      <c r="AS63" s="312"/>
      <c r="AT63" s="1423" t="str">
        <f>AU61&amp;"-"&amp;AW61</f>
        <v>45474.60084490741-45657.600960648146</v>
      </c>
      <c r="AU63" s="2134"/>
      <c r="AV63" s="1963"/>
      <c r="AW63" s="2134"/>
      <c r="AX63" s="1963"/>
      <c r="AY63" s="312"/>
      <c r="AZ63" s="312"/>
      <c r="BA63" s="312"/>
      <c r="BB63" s="312"/>
      <c r="BC63" s="1423" t="str">
        <f>BD61&amp;"-"&amp;BF61</f>
        <v>45658.601168981484-45838.60123842592</v>
      </c>
      <c r="BD63" s="2134"/>
      <c r="BE63" s="1963"/>
      <c r="BF63" s="2134"/>
      <c r="BG63" s="1963"/>
      <c r="BH63" s="312"/>
      <c r="BI63" s="312"/>
      <c r="BJ63" s="312"/>
      <c r="BK63" s="312"/>
      <c r="BL63" s="1423" t="str">
        <f>BM61&amp;"-"&amp;BO61</f>
        <v>45839.60145833333-46203.60152777778</v>
      </c>
      <c r="BM63" s="2134"/>
      <c r="BN63" s="1963"/>
      <c r="BO63" s="2134"/>
      <c r="BP63" s="1963"/>
      <c r="BQ63" s="312"/>
      <c r="BR63" s="312"/>
      <c r="BS63" s="312"/>
      <c r="BT63" s="312"/>
      <c r="BU63" s="1423" t="str">
        <f>BV61&amp;"-"&amp;BX61</f>
        <v>46204.60175925926-46387.601875</v>
      </c>
      <c r="BV63" s="2134"/>
      <c r="BW63" s="1963"/>
      <c r="BX63" s="2134"/>
      <c r="BY63" s="1963"/>
      <c r="BZ63" s="312"/>
      <c r="CA63" s="312"/>
      <c r="CB63" s="312"/>
      <c r="CC63" s="312"/>
      <c r="CD63" s="1423" t="str">
        <f>CE61&amp;"-"&amp;CG61</f>
        <v>46388.60202546296-46568.602222222224</v>
      </c>
      <c r="CE63" s="2134"/>
      <c r="CF63" s="1963"/>
      <c r="CG63" s="2134"/>
      <c r="CH63" s="1963"/>
      <c r="CI63" s="312"/>
      <c r="CJ63" s="312"/>
      <c r="CK63" s="312"/>
      <c r="CL63" s="312"/>
      <c r="CM63" s="1423" t="str">
        <f>CN61&amp;"-"&amp;CP61</f>
        <v>46569.602430555555-46934.60252314815</v>
      </c>
      <c r="CN63" s="2134"/>
      <c r="CO63" s="1963"/>
      <c r="CP63" s="2134"/>
      <c r="CQ63" s="1963"/>
      <c r="CR63" s="312"/>
      <c r="CS63" s="312"/>
      <c r="CT63" s="312"/>
      <c r="CU63" s="312"/>
      <c r="CV63" s="1423" t="str">
        <f>CW61&amp;"-"&amp;CY61</f>
        <v>46935.6027662037-47118.60283564815</v>
      </c>
      <c r="CW63" s="2134"/>
      <c r="CX63" s="1963"/>
      <c r="CY63" s="2134"/>
      <c r="CZ63" s="1963"/>
      <c r="DA63" s="312"/>
      <c r="DB63" s="2120"/>
      <c r="DC63" s="1667"/>
      <c r="DD63" s="1649"/>
      <c r="DE63" s="1649" t="str">
        <f>IF(V63="","",V63)</f>
        <v/>
      </c>
      <c r="DF63" s="1649"/>
      <c r="DG63" s="1649"/>
    </row>
    <row s="2437" customFormat="1" customHeight="1" ht="11.25">
      <c r="A64" s="1283"/>
      <c r="B64" s="1283"/>
      <c r="C64" s="1283"/>
      <c r="D64" s="1283"/>
      <c r="E64" s="2152"/>
      <c r="F64" s="2152"/>
      <c r="G64" s="2152"/>
      <c r="H64" s="2152"/>
      <c r="I64" s="1937"/>
      <c r="J64" s="1937" t="str">
        <f>I53&amp;".1"</f>
        <v>1.1.1.1.1.1</v>
      </c>
      <c r="K64" s="2017"/>
      <c r="L64" s="1283"/>
      <c r="M64" s="2029"/>
      <c r="N64" s="1660"/>
      <c r="O64" s="1660"/>
      <c r="P64" s="1660"/>
      <c r="Q64" s="2205"/>
      <c r="R64" s="2205"/>
      <c r="S64" s="2205"/>
      <c r="T64" s="345"/>
      <c r="U64" s="3861"/>
      <c r="V64" s="3862" t="s">
        <v>460</v>
      </c>
      <c r="W64" s="3863"/>
      <c r="X64" s="3864"/>
      <c r="Y64" s="3865"/>
      <c r="Z64" s="3866"/>
      <c r="AA64" s="3867"/>
      <c r="AB64" s="3868"/>
      <c r="AC64" s="2134"/>
      <c r="AD64" s="1963"/>
      <c r="AE64" s="2134"/>
      <c r="AF64" s="1963"/>
      <c r="AG64" s="3869"/>
      <c r="AH64" s="3870"/>
      <c r="AI64" s="3871"/>
      <c r="AJ64" s="3872"/>
      <c r="AK64" s="3873"/>
      <c r="AL64" s="2134"/>
      <c r="AM64" s="1963"/>
      <c r="AN64" s="2134"/>
      <c r="AO64" s="1963"/>
      <c r="AP64" s="3874"/>
      <c r="AQ64" s="3875"/>
      <c r="AR64" s="3876"/>
      <c r="AS64" s="3877"/>
      <c r="AT64" s="3878"/>
      <c r="AU64" s="2134"/>
      <c r="AV64" s="1963"/>
      <c r="AW64" s="2134"/>
      <c r="AX64" s="1963"/>
      <c r="AY64" s="3879"/>
      <c r="AZ64" s="3880"/>
      <c r="BA64" s="3881"/>
      <c r="BB64" s="3882"/>
      <c r="BC64" s="3883"/>
      <c r="BD64" s="2134"/>
      <c r="BE64" s="1963"/>
      <c r="BF64" s="2134"/>
      <c r="BG64" s="1963"/>
      <c r="BH64" s="3884"/>
      <c r="BI64" s="3885"/>
      <c r="BJ64" s="3886"/>
      <c r="BK64" s="3887"/>
      <c r="BL64" s="3888"/>
      <c r="BM64" s="2134"/>
      <c r="BN64" s="1963"/>
      <c r="BO64" s="2134"/>
      <c r="BP64" s="1963"/>
      <c r="BQ64" s="3889"/>
      <c r="BR64" s="3890"/>
      <c r="BS64" s="3891"/>
      <c r="BT64" s="3892"/>
      <c r="BU64" s="3893"/>
      <c r="BV64" s="2134"/>
      <c r="BW64" s="1963"/>
      <c r="BX64" s="2134"/>
      <c r="BY64" s="1963"/>
      <c r="BZ64" s="3894"/>
      <c r="CA64" s="3895"/>
      <c r="CB64" s="3896"/>
      <c r="CC64" s="3897"/>
      <c r="CD64" s="3898"/>
      <c r="CE64" s="2134"/>
      <c r="CF64" s="1963"/>
      <c r="CG64" s="2134"/>
      <c r="CH64" s="1963"/>
      <c r="CI64" s="3899"/>
      <c r="CJ64" s="3900"/>
      <c r="CK64" s="3901"/>
      <c r="CL64" s="3902"/>
      <c r="CM64" s="3903"/>
      <c r="CN64" s="2134"/>
      <c r="CO64" s="1963"/>
      <c r="CP64" s="2134"/>
      <c r="CQ64" s="1963"/>
      <c r="CR64" s="3904"/>
      <c r="CS64" s="3905"/>
      <c r="CT64" s="3906"/>
      <c r="CU64" s="3907"/>
      <c r="CV64" s="3908"/>
      <c r="CW64" s="2134"/>
      <c r="CX64" s="1963"/>
      <c r="CY64" s="2134"/>
      <c r="CZ64" s="1963"/>
      <c r="DA64" s="3909"/>
      <c r="DB64" s="2120"/>
      <c r="DC64" s="1667"/>
      <c r="DD64" s="1649"/>
      <c r="DE64" s="1649"/>
      <c r="DF64" s="1649"/>
      <c r="DG64" s="1649"/>
    </row>
    <row s="2437" customFormat="1" customHeight="1" ht="15">
      <c r="A65" s="1283"/>
      <c r="B65" s="1283"/>
      <c r="C65" s="1283"/>
      <c r="D65" s="1283"/>
      <c r="E65" s="2152"/>
      <c r="F65" s="2152"/>
      <c r="G65" s="2152"/>
      <c r="H65" s="2152"/>
      <c r="I65" s="1937"/>
      <c r="J65" s="2017" t="str">
        <f>I53&amp;".1"</f>
        <v>1.1.1.1.1.1</v>
      </c>
      <c r="K65" s="1283"/>
      <c r="L65" s="1283"/>
      <c r="M65" s="2029"/>
      <c r="N65" s="1660"/>
      <c r="O65" s="1660"/>
      <c r="P65" s="2216"/>
      <c r="Q65" s="2205"/>
      <c r="R65" s="2205"/>
      <c r="S65" s="2205"/>
      <c r="T65" s="344"/>
      <c r="U65" s="3910"/>
      <c r="V65" s="3911" t="s">
        <v>418</v>
      </c>
      <c r="W65" s="3912"/>
      <c r="X65" s="3913"/>
      <c r="Y65" s="3914"/>
      <c r="Z65" s="3915"/>
      <c r="AA65" s="3916"/>
      <c r="AB65" s="3917"/>
      <c r="AC65" s="3918"/>
      <c r="AD65" s="3919"/>
      <c r="AE65" s="3920"/>
      <c r="AF65" s="3921"/>
      <c r="AG65" s="3922"/>
      <c r="AH65" s="3923"/>
      <c r="AI65" s="3924"/>
      <c r="AJ65" s="3925"/>
      <c r="AK65" s="3926"/>
      <c r="AL65" s="3927"/>
      <c r="AM65" s="3928"/>
      <c r="AN65" s="3929"/>
      <c r="AO65" s="3930"/>
      <c r="AP65" s="3931"/>
      <c r="AQ65" s="3932"/>
      <c r="AR65" s="3933"/>
      <c r="AS65" s="3934"/>
      <c r="AT65" s="3935"/>
      <c r="AU65" s="3936"/>
      <c r="AV65" s="3937"/>
      <c r="AW65" s="3938"/>
      <c r="AX65" s="3939"/>
      <c r="AY65" s="3940"/>
      <c r="AZ65" s="3941"/>
      <c r="BA65" s="3942"/>
      <c r="BB65" s="3943"/>
      <c r="BC65" s="3944"/>
      <c r="BD65" s="3945"/>
      <c r="BE65" s="3946"/>
      <c r="BF65" s="3947"/>
      <c r="BG65" s="3948"/>
      <c r="BH65" s="3949"/>
      <c r="BI65" s="3950"/>
      <c r="BJ65" s="3951"/>
      <c r="BK65" s="3952"/>
      <c r="BL65" s="3953"/>
      <c r="BM65" s="3954"/>
      <c r="BN65" s="3955"/>
      <c r="BO65" s="3956"/>
      <c r="BP65" s="3957"/>
      <c r="BQ65" s="3958"/>
      <c r="BR65" s="3959"/>
      <c r="BS65" s="3960"/>
      <c r="BT65" s="3961"/>
      <c r="BU65" s="3962"/>
      <c r="BV65" s="3963"/>
      <c r="BW65" s="3964"/>
      <c r="BX65" s="3965"/>
      <c r="BY65" s="3966"/>
      <c r="BZ65" s="3967"/>
      <c r="CA65" s="3968"/>
      <c r="CB65" s="3969"/>
      <c r="CC65" s="3970"/>
      <c r="CD65" s="3971"/>
      <c r="CE65" s="3972"/>
      <c r="CF65" s="3973"/>
      <c r="CG65" s="3974"/>
      <c r="CH65" s="3975"/>
      <c r="CI65" s="3976"/>
      <c r="CJ65" s="3977"/>
      <c r="CK65" s="3978"/>
      <c r="CL65" s="3979"/>
      <c r="CM65" s="3980"/>
      <c r="CN65" s="3981"/>
      <c r="CO65" s="3982"/>
      <c r="CP65" s="3983"/>
      <c r="CQ65" s="3984"/>
      <c r="CR65" s="3985"/>
      <c r="CS65" s="3986"/>
      <c r="CT65" s="3987"/>
      <c r="CU65" s="3988"/>
      <c r="CV65" s="3989"/>
      <c r="CW65" s="3990"/>
      <c r="CX65" s="3991"/>
      <c r="CY65" s="3992"/>
      <c r="CZ65" s="3993"/>
      <c r="DA65" s="3994"/>
      <c r="DB65" s="2121"/>
      <c r="DC65" s="1667"/>
      <c r="DD65" s="1649"/>
      <c r="DE65" s="1649" t="str">
        <f>IF(V65="","",V65)</f>
        <v>Добавить вид теплоносителя (параметры теплоносителя)</v>
      </c>
      <c r="DF65" s="1649"/>
      <c r="DG65" s="1649"/>
    </row>
    <row customHeight="1" ht="11.25">
      <c r="A66" s="1283" t="s">
        <v>193</v>
      </c>
      <c r="B66" s="1283" t="s">
        <v>194</v>
      </c>
      <c r="C66" s="1283" t="s">
        <v>195</v>
      </c>
      <c r="D66" s="1283" t="s">
        <v>196</v>
      </c>
      <c r="E66" s="2150"/>
      <c r="F66" s="2150"/>
      <c r="G66" s="2150"/>
      <c r="H66" s="2152"/>
      <c r="I66" s="1953"/>
      <c r="J66" s="1283"/>
      <c r="K66" s="1283"/>
      <c r="L66" s="1283"/>
      <c r="M66" s="1327"/>
      <c r="Q66" s="2093"/>
      <c r="R66" s="1348"/>
      <c r="S66" s="1348"/>
      <c r="T66" s="344"/>
      <c r="U66" s="1295"/>
      <c r="V66" s="356" t="s">
        <v>419</v>
      </c>
      <c r="W66" s="359"/>
      <c r="X66" s="359"/>
      <c r="Y66" s="359"/>
      <c r="Z66" s="359"/>
      <c r="AA66" s="359"/>
      <c r="AB66" s="359"/>
      <c r="AC66" s="359"/>
      <c r="AD66" s="359"/>
      <c r="AE66" s="359"/>
      <c r="AF66" s="358"/>
      <c r="AG66" s="359"/>
      <c r="AH66" s="359"/>
      <c r="AI66" s="359"/>
      <c r="AJ66" s="359"/>
      <c r="AK66" s="359"/>
      <c r="AL66" s="359"/>
      <c r="AM66" s="359"/>
      <c r="AN66" s="359"/>
      <c r="AO66" s="358"/>
      <c r="AP66" s="3995"/>
      <c r="AQ66" s="3996"/>
      <c r="AR66" s="3997"/>
      <c r="AS66" s="3998"/>
      <c r="AT66" s="3999"/>
      <c r="AU66" s="4000"/>
      <c r="AV66" s="4001"/>
      <c r="AW66" s="4002"/>
      <c r="AX66" s="4003"/>
      <c r="AY66" s="4004"/>
      <c r="AZ66" s="4005"/>
      <c r="BA66" s="4006"/>
      <c r="BB66" s="4007"/>
      <c r="BC66" s="4008"/>
      <c r="BD66" s="4009"/>
      <c r="BE66" s="4010"/>
      <c r="BF66" s="4011"/>
      <c r="BG66" s="4012"/>
      <c r="BH66" s="4013"/>
      <c r="BI66" s="4014"/>
      <c r="BJ66" s="4015"/>
      <c r="BK66" s="4016"/>
      <c r="BL66" s="4017"/>
      <c r="BM66" s="4018"/>
      <c r="BN66" s="4019"/>
      <c r="BO66" s="4020"/>
      <c r="BP66" s="4021"/>
      <c r="BQ66" s="4022"/>
      <c r="BR66" s="4023"/>
      <c r="BS66" s="4024"/>
      <c r="BT66" s="4025"/>
      <c r="BU66" s="4026"/>
      <c r="BV66" s="4027"/>
      <c r="BW66" s="4028"/>
      <c r="BX66" s="4029"/>
      <c r="BY66" s="4030"/>
      <c r="BZ66" s="4031"/>
      <c r="CA66" s="4032"/>
      <c r="CB66" s="4033"/>
      <c r="CC66" s="4034"/>
      <c r="CD66" s="4035"/>
      <c r="CE66" s="4036"/>
      <c r="CF66" s="4037"/>
      <c r="CG66" s="4038"/>
      <c r="CH66" s="4039"/>
      <c r="CI66" s="4040"/>
      <c r="CJ66" s="4041"/>
      <c r="CK66" s="4042"/>
      <c r="CL66" s="4043"/>
      <c r="CM66" s="4044"/>
      <c r="CN66" s="4045"/>
      <c r="CO66" s="4046"/>
      <c r="CP66" s="4047"/>
      <c r="CQ66" s="4048"/>
      <c r="CR66" s="4049"/>
      <c r="CS66" s="4050"/>
      <c r="CT66" s="4051"/>
      <c r="CU66" s="4052"/>
      <c r="CV66" s="4053"/>
      <c r="CW66" s="4054"/>
      <c r="CX66" s="4055"/>
      <c r="CY66" s="4056"/>
      <c r="CZ66" s="4057"/>
      <c r="DA66" s="359"/>
      <c r="DB66" s="283"/>
      <c r="DD66" s="496"/>
      <c r="DE66" s="496" t="str">
        <f>IF(V66="","",V66)</f>
        <v>Добавить группу потребителей</v>
      </c>
      <c r="DF66" s="496"/>
      <c r="DG66" s="496"/>
    </row>
    <row customHeight="1" ht="0">
      <c r="A67" s="1283" t="s">
        <v>193</v>
      </c>
      <c r="B67" s="1283" t="s">
        <v>194</v>
      </c>
      <c r="C67" s="1283" t="s">
        <v>195</v>
      </c>
      <c r="D67" s="1283" t="s">
        <v>196</v>
      </c>
      <c r="E67" s="2150"/>
      <c r="F67" s="2150"/>
      <c r="G67" s="2150"/>
      <c r="H67" s="2151"/>
      <c r="I67" s="1283"/>
      <c r="J67" s="1283"/>
      <c r="K67" s="1283"/>
      <c r="L67" s="1283"/>
      <c r="M67" s="1327"/>
      <c r="N67" s="683"/>
      <c r="O67" s="683"/>
      <c r="P67" s="505"/>
      <c r="Q67" s="348"/>
      <c r="R67" s="367"/>
      <c r="S67" s="343"/>
      <c r="T67" s="348"/>
      <c r="U67" s="1403"/>
      <c r="V67" s="1404"/>
      <c r="W67" s="1405"/>
      <c r="X67" s="1405"/>
      <c r="Y67" s="1405"/>
      <c r="Z67" s="1405"/>
      <c r="AA67" s="1405"/>
      <c r="AB67" s="1405"/>
      <c r="AC67" s="1405"/>
      <c r="AD67" s="1405"/>
      <c r="AE67" s="1405"/>
      <c r="AF67" s="1405"/>
      <c r="AG67" s="1405"/>
      <c r="AH67" s="1405"/>
      <c r="AI67" s="1405"/>
      <c r="AJ67" s="1405"/>
      <c r="AK67" s="1405"/>
      <c r="AL67" s="1405"/>
      <c r="AM67" s="1405"/>
      <c r="AN67" s="1405"/>
      <c r="AO67" s="1405"/>
      <c r="AP67" s="1405"/>
      <c r="AQ67" s="1405"/>
      <c r="AR67" s="1405"/>
      <c r="AS67" s="1405"/>
      <c r="AT67" s="1405"/>
      <c r="AU67" s="1405"/>
      <c r="AV67" s="1405"/>
      <c r="AW67" s="1405"/>
      <c r="AX67" s="1405"/>
      <c r="AY67" s="1405"/>
      <c r="AZ67" s="1405"/>
      <c r="BA67" s="1405"/>
      <c r="BB67" s="1405"/>
      <c r="BC67" s="1405"/>
      <c r="BD67" s="1405"/>
      <c r="BE67" s="1405"/>
      <c r="BF67" s="1405"/>
      <c r="BG67" s="1405"/>
      <c r="BH67" s="1405"/>
      <c r="BI67" s="1405"/>
      <c r="BJ67" s="1405"/>
      <c r="BK67" s="1405"/>
      <c r="BL67" s="1405"/>
      <c r="BM67" s="1405"/>
      <c r="BN67" s="1405"/>
      <c r="BO67" s="1405"/>
      <c r="BP67" s="1405"/>
      <c r="BQ67" s="1405"/>
      <c r="BR67" s="1405"/>
      <c r="BS67" s="1405"/>
      <c r="BT67" s="1405"/>
      <c r="BU67" s="1405"/>
      <c r="BV67" s="1405"/>
      <c r="BW67" s="1405"/>
      <c r="BX67" s="1405"/>
      <c r="BY67" s="1405"/>
      <c r="BZ67" s="1405"/>
      <c r="CA67" s="1405"/>
      <c r="CB67" s="1405"/>
      <c r="CC67" s="1405"/>
      <c r="CD67" s="1405"/>
      <c r="CE67" s="1405"/>
      <c r="CF67" s="1405"/>
      <c r="CG67" s="1405"/>
      <c r="CH67" s="1405"/>
      <c r="CI67" s="1405"/>
      <c r="CJ67" s="1405"/>
      <c r="CK67" s="1405"/>
      <c r="CL67" s="1405"/>
      <c r="CM67" s="1405"/>
      <c r="CN67" s="1405"/>
      <c r="CO67" s="1405"/>
      <c r="CP67" s="1405"/>
      <c r="CQ67" s="1405"/>
      <c r="CR67" s="1405"/>
      <c r="CS67" s="1405"/>
      <c r="CT67" s="1405"/>
      <c r="CU67" s="1405"/>
      <c r="CV67" s="1405"/>
      <c r="CW67" s="1405"/>
      <c r="CX67" s="1405"/>
      <c r="CY67" s="1405"/>
      <c r="CZ67" s="1405"/>
      <c r="DA67" s="1405"/>
      <c r="DB67" s="1406"/>
      <c r="DD67" s="496"/>
      <c r="DE67" s="496" t="str">
        <f>IF(V67="","",V67)</f>
        <v/>
      </c>
      <c r="DF67" s="496"/>
      <c r="DG67" s="496"/>
    </row>
    <row s="1667" customFormat="1" customHeight="1" ht="0">
      <c r="A68" s="1392" t="s">
        <v>193</v>
      </c>
      <c r="B68" s="1392" t="s">
        <v>194</v>
      </c>
      <c r="C68" s="1392" t="s">
        <v>195</v>
      </c>
      <c r="D68" s="1391"/>
      <c r="E68" s="2150"/>
      <c r="F68" s="2150"/>
      <c r="G68" s="2149"/>
      <c r="H68" s="1391"/>
      <c r="I68" s="1391"/>
      <c r="J68" s="1391"/>
      <c r="K68" s="1391"/>
      <c r="L68" s="1391"/>
      <c r="M68" s="1394"/>
      <c r="N68" s="1395"/>
      <c r="O68" s="1395"/>
      <c r="P68" s="339"/>
      <c r="Q68" s="1333"/>
      <c r="R68" s="1334"/>
      <c r="S68" s="1333"/>
      <c r="T68" s="1333"/>
      <c r="U68" s="1339"/>
      <c r="V68" s="1342" t="s">
        <v>166</v>
      </c>
      <c r="W68" s="1341"/>
      <c r="X68" s="1341"/>
      <c r="Y68" s="1341"/>
      <c r="Z68" s="1341"/>
      <c r="AA68" s="1341"/>
      <c r="AB68" s="1341"/>
      <c r="AC68" s="1341"/>
      <c r="AD68" s="1341"/>
      <c r="AE68" s="1341"/>
      <c r="AF68" s="1341"/>
      <c r="AG68" s="1341"/>
      <c r="AH68" s="1341"/>
      <c r="AI68" s="1341"/>
      <c r="AJ68" s="1341"/>
      <c r="AK68" s="1341"/>
      <c r="AL68" s="1341"/>
      <c r="AM68" s="1341"/>
      <c r="AN68" s="1341"/>
      <c r="AO68" s="1341"/>
      <c r="AP68" s="1341"/>
      <c r="AQ68" s="1341"/>
      <c r="AR68" s="1341"/>
      <c r="AS68" s="1341"/>
      <c r="AT68" s="1341"/>
      <c r="AU68" s="1341"/>
      <c r="AV68" s="1341"/>
      <c r="AW68" s="1341"/>
      <c r="AX68" s="1341"/>
      <c r="AY68" s="1341"/>
      <c r="AZ68" s="1341"/>
      <c r="BA68" s="1341"/>
      <c r="BB68" s="1341"/>
      <c r="BC68" s="1341"/>
      <c r="BD68" s="1341"/>
      <c r="BE68" s="1341"/>
      <c r="BF68" s="1341"/>
      <c r="BG68" s="1341"/>
      <c r="BH68" s="1341"/>
      <c r="BI68" s="1341"/>
      <c r="BJ68" s="1341"/>
      <c r="BK68" s="1341"/>
      <c r="BL68" s="1341"/>
      <c r="BM68" s="1341"/>
      <c r="BN68" s="1341"/>
      <c r="BO68" s="1341"/>
      <c r="BP68" s="1341"/>
      <c r="BQ68" s="1341"/>
      <c r="BR68" s="1341"/>
      <c r="BS68" s="1341"/>
      <c r="BT68" s="1341"/>
      <c r="BU68" s="1341"/>
      <c r="BV68" s="1341"/>
      <c r="BW68" s="1341"/>
      <c r="BX68" s="1341"/>
      <c r="BY68" s="1341"/>
      <c r="BZ68" s="1341"/>
      <c r="CA68" s="1341"/>
      <c r="CB68" s="1341"/>
      <c r="CC68" s="1341"/>
      <c r="CD68" s="1341"/>
      <c r="CE68" s="1341"/>
      <c r="CF68" s="1341"/>
      <c r="CG68" s="1341"/>
      <c r="CH68" s="1341"/>
      <c r="CI68" s="1341"/>
      <c r="CJ68" s="1341"/>
      <c r="CK68" s="1341"/>
      <c r="CL68" s="1341"/>
      <c r="CM68" s="1341"/>
      <c r="CN68" s="1341"/>
      <c r="CO68" s="1341"/>
      <c r="CP68" s="1341"/>
      <c r="CQ68" s="1341"/>
      <c r="CR68" s="1341"/>
      <c r="CS68" s="1341"/>
      <c r="CT68" s="1341"/>
      <c r="CU68" s="1341"/>
      <c r="CV68" s="1341"/>
      <c r="CW68" s="1341"/>
      <c r="CX68" s="1341"/>
      <c r="CY68" s="1341"/>
      <c r="CZ68" s="1341"/>
      <c r="DA68" s="1341"/>
      <c r="DB68" s="1341"/>
      <c r="DD68" s="783"/>
      <c r="DE68" s="783" t="str">
        <f>IF(V68="","",V68)</f>
        <v>Добавить источник для дифференциации</v>
      </c>
      <c r="DF68" s="783"/>
      <c r="DG68" s="783"/>
    </row>
    <row s="1667" customFormat="1" customHeight="1" ht="0">
      <c r="A69" s="1392" t="s">
        <v>193</v>
      </c>
      <c r="B69" s="1392" t="s">
        <v>194</v>
      </c>
      <c r="C69" s="1391"/>
      <c r="D69" s="1391"/>
      <c r="E69" s="2150"/>
      <c r="F69" s="2149"/>
      <c r="G69" s="1391"/>
      <c r="H69" s="1391"/>
      <c r="I69" s="1391"/>
      <c r="J69" s="1391"/>
      <c r="K69" s="1391"/>
      <c r="L69" s="1391"/>
      <c r="M69" s="1394"/>
      <c r="N69" s="1396"/>
      <c r="O69" s="1396"/>
      <c r="P69" s="339"/>
      <c r="Q69" s="1333"/>
      <c r="R69" s="1334"/>
      <c r="S69" s="1333"/>
      <c r="T69" s="1333"/>
      <c r="U69" s="1339"/>
      <c r="V69" s="1342" t="s">
        <v>167</v>
      </c>
      <c r="W69" s="1341"/>
      <c r="X69" s="1341"/>
      <c r="Y69" s="1341"/>
      <c r="Z69" s="1341"/>
      <c r="AA69" s="1341"/>
      <c r="AB69" s="1341"/>
      <c r="AC69" s="1341"/>
      <c r="AD69" s="1341"/>
      <c r="AE69" s="1341"/>
      <c r="AF69" s="1341"/>
      <c r="AG69" s="1341"/>
      <c r="AH69" s="1341"/>
      <c r="AI69" s="1341"/>
      <c r="AJ69" s="1341"/>
      <c r="AK69" s="1341"/>
      <c r="AL69" s="1341"/>
      <c r="AM69" s="1341"/>
      <c r="AN69" s="1341"/>
      <c r="AO69" s="1341"/>
      <c r="AP69" s="1341"/>
      <c r="AQ69" s="1341"/>
      <c r="AR69" s="1341"/>
      <c r="AS69" s="1341"/>
      <c r="AT69" s="1341"/>
      <c r="AU69" s="1341"/>
      <c r="AV69" s="1341"/>
      <c r="AW69" s="1341"/>
      <c r="AX69" s="1341"/>
      <c r="AY69" s="1341"/>
      <c r="AZ69" s="1341"/>
      <c r="BA69" s="1341"/>
      <c r="BB69" s="1341"/>
      <c r="BC69" s="1341"/>
      <c r="BD69" s="1341"/>
      <c r="BE69" s="1341"/>
      <c r="BF69" s="1341"/>
      <c r="BG69" s="1341"/>
      <c r="BH69" s="1341"/>
      <c r="BI69" s="1341"/>
      <c r="BJ69" s="1341"/>
      <c r="BK69" s="1341"/>
      <c r="BL69" s="1341"/>
      <c r="BM69" s="1341"/>
      <c r="BN69" s="1341"/>
      <c r="BO69" s="1341"/>
      <c r="BP69" s="1341"/>
      <c r="BQ69" s="1341"/>
      <c r="BR69" s="1341"/>
      <c r="BS69" s="1341"/>
      <c r="BT69" s="1341"/>
      <c r="BU69" s="1341"/>
      <c r="BV69" s="1341"/>
      <c r="BW69" s="1341"/>
      <c r="BX69" s="1341"/>
      <c r="BY69" s="1341"/>
      <c r="BZ69" s="1341"/>
      <c r="CA69" s="1341"/>
      <c r="CB69" s="1341"/>
      <c r="CC69" s="1341"/>
      <c r="CD69" s="1341"/>
      <c r="CE69" s="1341"/>
      <c r="CF69" s="1341"/>
      <c r="CG69" s="1341"/>
      <c r="CH69" s="1341"/>
      <c r="CI69" s="1341"/>
      <c r="CJ69" s="1341"/>
      <c r="CK69" s="1341"/>
      <c r="CL69" s="1341"/>
      <c r="CM69" s="1341"/>
      <c r="CN69" s="1341"/>
      <c r="CO69" s="1341"/>
      <c r="CP69" s="1341"/>
      <c r="CQ69" s="1341"/>
      <c r="CR69" s="1341"/>
      <c r="CS69" s="1341"/>
      <c r="CT69" s="1341"/>
      <c r="CU69" s="1341"/>
      <c r="CV69" s="1341"/>
      <c r="CW69" s="1341"/>
      <c r="CX69" s="1341"/>
      <c r="CY69" s="1341"/>
      <c r="CZ69" s="1341"/>
      <c r="DA69" s="1341"/>
      <c r="DB69" s="1341"/>
      <c r="DD69" s="783"/>
      <c r="DE69" s="783" t="str">
        <f>IF(V69="","",V69)</f>
        <v>Добавить централизованную систему для дифференциации</v>
      </c>
      <c r="DF69" s="783"/>
      <c r="DG69" s="783"/>
    </row>
    <row s="1667" customFormat="1" customHeight="1" ht="0">
      <c r="A70" s="1392" t="s">
        <v>193</v>
      </c>
      <c r="B70" s="1392"/>
      <c r="C70" s="1392"/>
      <c r="D70" s="1392"/>
      <c r="E70" s="2149"/>
      <c r="F70" s="1392"/>
      <c r="G70" s="1392"/>
      <c r="H70" s="1392"/>
      <c r="I70" s="1392"/>
      <c r="J70" s="1392"/>
      <c r="K70" s="1392"/>
      <c r="L70" s="1392"/>
      <c r="M70" s="1398"/>
      <c r="N70" s="1396"/>
      <c r="O70" s="1396"/>
      <c r="P70" s="339"/>
      <c r="Q70" s="376"/>
      <c r="R70" s="1361"/>
      <c r="S70" s="376"/>
      <c r="T70" s="376"/>
      <c r="U70" s="1339"/>
      <c r="V70" s="1342" t="s">
        <v>168</v>
      </c>
      <c r="W70" s="1341"/>
      <c r="X70" s="1341"/>
      <c r="Y70" s="1341"/>
      <c r="Z70" s="1341"/>
      <c r="AA70" s="1341"/>
      <c r="AB70" s="1341"/>
      <c r="AC70" s="1341"/>
      <c r="AD70" s="1341"/>
      <c r="AE70" s="1341"/>
      <c r="AF70" s="1341"/>
      <c r="AG70" s="1341"/>
      <c r="AH70" s="1341"/>
      <c r="AI70" s="1341"/>
      <c r="AJ70" s="1341"/>
      <c r="AK70" s="1341"/>
      <c r="AL70" s="1341"/>
      <c r="AM70" s="1341"/>
      <c r="AN70" s="1341"/>
      <c r="AO70" s="1341"/>
      <c r="AP70" s="1341"/>
      <c r="AQ70" s="1341"/>
      <c r="AR70" s="1341"/>
      <c r="AS70" s="1341"/>
      <c r="AT70" s="1341"/>
      <c r="AU70" s="1341"/>
      <c r="AV70" s="1341"/>
      <c r="AW70" s="1341"/>
      <c r="AX70" s="1341"/>
      <c r="AY70" s="1341"/>
      <c r="AZ70" s="1341"/>
      <c r="BA70" s="1341"/>
      <c r="BB70" s="1341"/>
      <c r="BC70" s="1341"/>
      <c r="BD70" s="1341"/>
      <c r="BE70" s="1341"/>
      <c r="BF70" s="1341"/>
      <c r="BG70" s="1341"/>
      <c r="BH70" s="1341"/>
      <c r="BI70" s="1341"/>
      <c r="BJ70" s="1341"/>
      <c r="BK70" s="1341"/>
      <c r="BL70" s="1341"/>
      <c r="BM70" s="1341"/>
      <c r="BN70" s="1341"/>
      <c r="BO70" s="1341"/>
      <c r="BP70" s="1341"/>
      <c r="BQ70" s="1341"/>
      <c r="BR70" s="1341"/>
      <c r="BS70" s="1341"/>
      <c r="BT70" s="1341"/>
      <c r="BU70" s="1341"/>
      <c r="BV70" s="1341"/>
      <c r="BW70" s="1341"/>
      <c r="BX70" s="1341"/>
      <c r="BY70" s="1341"/>
      <c r="BZ70" s="1341"/>
      <c r="CA70" s="1341"/>
      <c r="CB70" s="1341"/>
      <c r="CC70" s="1341"/>
      <c r="CD70" s="1341"/>
      <c r="CE70" s="1341"/>
      <c r="CF70" s="1341"/>
      <c r="CG70" s="1341"/>
      <c r="CH70" s="1341"/>
      <c r="CI70" s="1341"/>
      <c r="CJ70" s="1341"/>
      <c r="CK70" s="1341"/>
      <c r="CL70" s="1341"/>
      <c r="CM70" s="1341"/>
      <c r="CN70" s="1341"/>
      <c r="CO70" s="1341"/>
      <c r="CP70" s="1341"/>
      <c r="CQ70" s="1341"/>
      <c r="CR70" s="1341"/>
      <c r="CS70" s="1341"/>
      <c r="CT70" s="1341"/>
      <c r="CU70" s="1341"/>
      <c r="CV70" s="1341"/>
      <c r="CW70" s="1341"/>
      <c r="CX70" s="1341"/>
      <c r="CY70" s="1341"/>
      <c r="CZ70" s="1341"/>
      <c r="DA70" s="1341"/>
      <c r="DB70" s="1341"/>
      <c r="DD70" s="496"/>
      <c r="DE70" s="496" t="str">
        <f>IF(V70="","",V70)</f>
        <v>Добавить территорию для дифференциации</v>
      </c>
      <c r="DF70" s="496"/>
      <c r="DG70" s="496"/>
    </row>
    <row s="1667" customFormat="1" customHeight="1" ht="5.25">
      <c r="A71" s="1391"/>
      <c r="B71" s="1391"/>
      <c r="C71" s="1391"/>
      <c r="D71" s="1391"/>
      <c r="E71" s="1392"/>
      <c r="F71" s="1391"/>
      <c r="G71" s="1391"/>
      <c r="H71" s="1391"/>
      <c r="I71" s="1391"/>
      <c r="J71" s="1391"/>
      <c r="K71" s="1391"/>
      <c r="L71" s="1391"/>
      <c r="M71" s="1394"/>
      <c r="N71" s="1396"/>
      <c r="O71" s="1396"/>
      <c r="P71" s="339"/>
      <c r="Q71" s="1333"/>
      <c r="R71" s="1334"/>
      <c r="S71" s="1333"/>
      <c r="T71" s="1333"/>
      <c r="U71" s="1339"/>
      <c r="V71" s="1342" t="s">
        <v>180</v>
      </c>
      <c r="W71" s="1341"/>
      <c r="X71" s="1341"/>
      <c r="Y71" s="1341"/>
      <c r="Z71" s="1341"/>
      <c r="AA71" s="1341"/>
      <c r="AB71" s="1341"/>
      <c r="AC71" s="1341"/>
      <c r="AD71" s="1341"/>
      <c r="AE71" s="1341"/>
      <c r="AF71" s="1341"/>
      <c r="AG71" s="1341"/>
      <c r="AH71" s="1341"/>
      <c r="AI71" s="1341"/>
      <c r="AJ71" s="1341"/>
      <c r="AK71" s="1341"/>
      <c r="AL71" s="1341"/>
      <c r="AM71" s="1341"/>
      <c r="AN71" s="1341"/>
      <c r="AO71" s="1341"/>
      <c r="AP71" s="1341"/>
      <c r="AQ71" s="1341"/>
      <c r="AR71" s="1341"/>
      <c r="AS71" s="1341"/>
      <c r="AT71" s="1341"/>
      <c r="AU71" s="1341"/>
      <c r="AV71" s="1341"/>
      <c r="AW71" s="1341"/>
      <c r="AX71" s="1341"/>
      <c r="AY71" s="1341"/>
      <c r="AZ71" s="1341"/>
      <c r="BA71" s="1341"/>
      <c r="BB71" s="1341"/>
      <c r="BC71" s="1341"/>
      <c r="BD71" s="1341"/>
      <c r="BE71" s="1341"/>
      <c r="BF71" s="1341"/>
      <c r="BG71" s="1341"/>
      <c r="BH71" s="1341"/>
      <c r="BI71" s="1341"/>
      <c r="BJ71" s="1341"/>
      <c r="BK71" s="1341"/>
      <c r="BL71" s="1341"/>
      <c r="BM71" s="1341"/>
      <c r="BN71" s="1341"/>
      <c r="BO71" s="1341"/>
      <c r="BP71" s="1341"/>
      <c r="BQ71" s="1341"/>
      <c r="BR71" s="1341"/>
      <c r="BS71" s="1341"/>
      <c r="BT71" s="1341"/>
      <c r="BU71" s="1341"/>
      <c r="BV71" s="1341"/>
      <c r="BW71" s="1341"/>
      <c r="BX71" s="1341"/>
      <c r="BY71" s="1341"/>
      <c r="BZ71" s="1341"/>
      <c r="CA71" s="1341"/>
      <c r="CB71" s="1341"/>
      <c r="CC71" s="1341"/>
      <c r="CD71" s="1341"/>
      <c r="CE71" s="1341"/>
      <c r="CF71" s="1341"/>
      <c r="CG71" s="1341"/>
      <c r="CH71" s="1341"/>
      <c r="CI71" s="1341"/>
      <c r="CJ71" s="1341"/>
      <c r="CK71" s="1341"/>
      <c r="CL71" s="1341"/>
      <c r="CM71" s="1341"/>
      <c r="CN71" s="1341"/>
      <c r="CO71" s="1341"/>
      <c r="CP71" s="1341"/>
      <c r="CQ71" s="1341"/>
      <c r="CR71" s="1341"/>
      <c r="CS71" s="1341"/>
      <c r="CT71" s="1341"/>
      <c r="CU71" s="1341"/>
      <c r="CV71" s="1341"/>
      <c r="CW71" s="1341"/>
      <c r="CX71" s="1341"/>
      <c r="CY71" s="1341"/>
      <c r="CZ71" s="1341"/>
      <c r="DA71" s="1341"/>
      <c r="DB71" s="1341"/>
      <c r="DD71" s="783"/>
      <c r="DE71" s="783" t="str">
        <f>IF(V71="","",V71)</f>
        <v>Добавить наименование тарифа</v>
      </c>
      <c r="DF71" s="783"/>
      <c r="DG71" s="783"/>
    </row>
    <row customHeight="1" ht="11.25">
      <c r="N72" s="1150"/>
      <c r="O72" s="1150"/>
      <c r="P72" s="505"/>
      <c r="Q72" s="1150"/>
      <c r="R72" s="1150"/>
      <c r="S72" s="1150"/>
      <c r="T72" s="1150"/>
      <c r="U72" s="1150"/>
      <c r="AP72" s="1660"/>
      <c r="AQ72" s="1660"/>
      <c r="AR72" s="1660"/>
      <c r="AS72" s="1660"/>
      <c r="AT72" s="1660"/>
      <c r="AU72" s="1660"/>
      <c r="AV72" s="1660"/>
      <c r="AW72" s="1660"/>
      <c r="AX72" s="1660"/>
      <c r="AY72" s="1660"/>
      <c r="AZ72" s="1660"/>
      <c r="BA72" s="1660"/>
      <c r="BB72" s="1660"/>
      <c r="BC72" s="1660"/>
      <c r="BD72" s="1660"/>
      <c r="BE72" s="1660"/>
      <c r="BF72" s="1660"/>
      <c r="BG72" s="1660"/>
      <c r="BH72" s="1660"/>
      <c r="BI72" s="1660"/>
      <c r="BJ72" s="1660"/>
      <c r="BK72" s="1660"/>
      <c r="BL72" s="1660"/>
      <c r="BM72" s="1660"/>
      <c r="BN72" s="1660"/>
      <c r="BO72" s="1660"/>
      <c r="BP72" s="1660"/>
      <c r="BQ72" s="1660"/>
      <c r="BR72" s="1660"/>
      <c r="BS72" s="1660"/>
      <c r="BT72" s="1660"/>
      <c r="BU72" s="1660"/>
      <c r="BV72" s="1660"/>
      <c r="BW72" s="1660"/>
      <c r="BX72" s="1660"/>
      <c r="BY72" s="1660"/>
      <c r="BZ72" s="1660"/>
      <c r="CA72" s="1660"/>
      <c r="CB72" s="1660"/>
      <c r="CC72" s="1660"/>
      <c r="CD72" s="1660"/>
      <c r="CE72" s="1660"/>
      <c r="CF72" s="1660"/>
      <c r="CG72" s="1660"/>
      <c r="CH72" s="1660"/>
      <c r="CI72" s="1660"/>
      <c r="CJ72" s="1660"/>
      <c r="CK72" s="1660"/>
      <c r="CL72" s="1660"/>
      <c r="CM72" s="1660"/>
      <c r="CN72" s="1660"/>
      <c r="CO72" s="1660"/>
      <c r="CP72" s="1660"/>
      <c r="CQ72" s="1660"/>
      <c r="CR72" s="1660"/>
      <c r="CS72" s="1660"/>
      <c r="CT72" s="1660"/>
      <c r="CU72" s="1660"/>
      <c r="CV72" s="1660"/>
      <c r="CW72" s="1660"/>
      <c r="CX72" s="1660"/>
      <c r="CY72" s="1660"/>
      <c r="CZ72" s="1660"/>
      <c r="DC72" s="1150"/>
      <c r="DD72" s="1150"/>
      <c r="DE72" s="1150"/>
      <c r="DF72" s="1150"/>
      <c r="DG72" s="1150"/>
    </row>
    <row customHeight="1" ht="33.75">
      <c r="P73" s="505"/>
      <c r="U73" s="1260"/>
      <c r="V73" s="2088"/>
      <c r="W73" s="2088"/>
      <c r="X73" s="2088"/>
      <c r="Y73" s="2088"/>
      <c r="Z73" s="2088"/>
      <c r="AA73" s="2088"/>
      <c r="AB73" s="2088"/>
      <c r="AC73" s="2088"/>
      <c r="AD73" s="2088"/>
      <c r="AE73" s="2088"/>
      <c r="AF73" s="2088"/>
      <c r="AG73" s="2088"/>
      <c r="AH73" s="2088"/>
      <c r="AI73" s="2088"/>
      <c r="AJ73" s="2088"/>
      <c r="AK73" s="2088"/>
      <c r="AL73" s="2088"/>
      <c r="AM73" s="2088"/>
      <c r="AN73" s="2088"/>
      <c r="AO73" s="2088"/>
      <c r="AP73" s="2215"/>
      <c r="AQ73" s="2215"/>
      <c r="AR73" s="2215"/>
      <c r="AS73" s="2215"/>
      <c r="AT73" s="2215"/>
      <c r="AU73" s="2215"/>
      <c r="AV73" s="2215"/>
      <c r="AW73" s="2215"/>
      <c r="AX73" s="2215"/>
      <c r="AY73" s="2215"/>
      <c r="AZ73" s="2215"/>
      <c r="BA73" s="2215"/>
      <c r="BB73" s="2215"/>
      <c r="BC73" s="2215"/>
      <c r="BD73" s="2215"/>
      <c r="BE73" s="2215"/>
      <c r="BF73" s="2215"/>
      <c r="BG73" s="2215"/>
      <c r="BH73" s="2215"/>
      <c r="BI73" s="2215"/>
      <c r="BJ73" s="2215"/>
      <c r="BK73" s="2215"/>
      <c r="BL73" s="2215"/>
      <c r="BM73" s="2215"/>
      <c r="BN73" s="2215"/>
      <c r="BO73" s="2215"/>
      <c r="BP73" s="2215"/>
      <c r="BQ73" s="2215"/>
      <c r="BR73" s="2215"/>
      <c r="BS73" s="2215"/>
      <c r="BT73" s="2215"/>
      <c r="BU73" s="2215"/>
      <c r="BV73" s="2215"/>
      <c r="BW73" s="2215"/>
      <c r="BX73" s="2215"/>
      <c r="BY73" s="2215"/>
      <c r="BZ73" s="2215"/>
      <c r="CA73" s="2215"/>
      <c r="CB73" s="2215"/>
      <c r="CC73" s="2215"/>
      <c r="CD73" s="2215"/>
      <c r="CE73" s="2215"/>
      <c r="CF73" s="2215"/>
      <c r="CG73" s="2215"/>
      <c r="CH73" s="2215"/>
      <c r="CI73" s="2215"/>
      <c r="CJ73" s="2215"/>
      <c r="CK73" s="2215"/>
      <c r="CL73" s="2215"/>
      <c r="CM73" s="2215"/>
      <c r="CN73" s="2215"/>
      <c r="CO73" s="2215"/>
      <c r="CP73" s="2215"/>
      <c r="CQ73" s="2215"/>
      <c r="CR73" s="2215"/>
      <c r="CS73" s="2215"/>
      <c r="CT73" s="2215"/>
      <c r="CU73" s="2215"/>
      <c r="CV73" s="2215"/>
      <c r="CW73" s="2215"/>
      <c r="CX73" s="2215"/>
      <c r="CY73" s="2215"/>
      <c r="CZ73" s="2215"/>
      <c r="DA73" s="2088"/>
      <c r="DB73" s="2088"/>
    </row>
    <row customHeight="1" ht="19.5">
      <c r="P74" s="505"/>
      <c r="V74" s="2088"/>
      <c r="W74" s="2088"/>
      <c r="X74" s="2088"/>
      <c r="Y74" s="2088"/>
      <c r="Z74" s="2088"/>
      <c r="AA74" s="2088"/>
      <c r="AB74" s="2088"/>
      <c r="AC74" s="2088"/>
      <c r="AD74" s="2088"/>
      <c r="AE74" s="2088"/>
      <c r="AF74" s="2088"/>
      <c r="AG74" s="2088"/>
      <c r="AH74" s="2088"/>
      <c r="AI74" s="2088"/>
      <c r="AJ74" s="2088"/>
      <c r="AK74" s="2088"/>
      <c r="AL74" s="2088"/>
      <c r="AM74" s="2088"/>
      <c r="AN74" s="2088"/>
      <c r="AO74" s="2088"/>
      <c r="AP74" s="2215"/>
      <c r="AQ74" s="2215"/>
      <c r="AR74" s="2215"/>
      <c r="AS74" s="2215"/>
      <c r="AT74" s="2215"/>
      <c r="AU74" s="2215"/>
      <c r="AV74" s="2215"/>
      <c r="AW74" s="2215"/>
      <c r="AX74" s="2215"/>
      <c r="AY74" s="2215"/>
      <c r="AZ74" s="2215"/>
      <c r="BA74" s="2215"/>
      <c r="BB74" s="2215"/>
      <c r="BC74" s="2215"/>
      <c r="BD74" s="2215"/>
      <c r="BE74" s="2215"/>
      <c r="BF74" s="2215"/>
      <c r="BG74" s="2215"/>
      <c r="BH74" s="2215"/>
      <c r="BI74" s="2215"/>
      <c r="BJ74" s="2215"/>
      <c r="BK74" s="2215"/>
      <c r="BL74" s="2215"/>
      <c r="BM74" s="2215"/>
      <c r="BN74" s="2215"/>
      <c r="BO74" s="2215"/>
      <c r="BP74" s="2215"/>
      <c r="BQ74" s="2215"/>
      <c r="BR74" s="2215"/>
      <c r="BS74" s="2215"/>
      <c r="BT74" s="2215"/>
      <c r="BU74" s="2215"/>
      <c r="BV74" s="2215"/>
      <c r="BW74" s="2215"/>
      <c r="BX74" s="2215"/>
      <c r="BY74" s="2215"/>
      <c r="BZ74" s="2215"/>
      <c r="CA74" s="2215"/>
      <c r="CB74" s="2215"/>
      <c r="CC74" s="2215"/>
      <c r="CD74" s="2215"/>
      <c r="CE74" s="2215"/>
      <c r="CF74" s="2215"/>
      <c r="CG74" s="2215"/>
      <c r="CH74" s="2215"/>
      <c r="CI74" s="2215"/>
      <c r="CJ74" s="2215"/>
      <c r="CK74" s="2215"/>
      <c r="CL74" s="2215"/>
      <c r="CM74" s="2215"/>
      <c r="CN74" s="2215"/>
      <c r="CO74" s="2215"/>
      <c r="CP74" s="2215"/>
      <c r="CQ74" s="2215"/>
      <c r="CR74" s="2215"/>
      <c r="CS74" s="2215"/>
      <c r="CT74" s="2215"/>
      <c r="CU74" s="2215"/>
      <c r="CV74" s="2215"/>
      <c r="CW74" s="2215"/>
      <c r="CX74" s="2215"/>
      <c r="CY74" s="2215"/>
      <c r="CZ74" s="2215"/>
      <c r="DA74" s="2088"/>
      <c r="DB74" s="2088"/>
    </row>
    <row customHeight="1" ht="14.25">
      <c r="P75" s="505"/>
      <c r="AP75" s="1660"/>
      <c r="AQ75" s="1660"/>
      <c r="AR75" s="1660"/>
      <c r="AS75" s="1660"/>
      <c r="AT75" s="1660"/>
      <c r="AU75" s="1660"/>
      <c r="AV75" s="1660"/>
      <c r="AW75" s="1660"/>
      <c r="AX75" s="1660"/>
      <c r="AY75" s="1660"/>
      <c r="AZ75" s="1660"/>
      <c r="BA75" s="1660"/>
      <c r="BB75" s="1660"/>
      <c r="BC75" s="1660"/>
      <c r="BD75" s="1660"/>
      <c r="BE75" s="1660"/>
      <c r="BF75" s="1660"/>
      <c r="BG75" s="1660"/>
      <c r="BH75" s="1660"/>
      <c r="BI75" s="1660"/>
      <c r="BJ75" s="1660"/>
      <c r="BK75" s="1660"/>
      <c r="BL75" s="1660"/>
      <c r="BM75" s="1660"/>
      <c r="BN75" s="1660"/>
      <c r="BO75" s="1660"/>
      <c r="BP75" s="1660"/>
      <c r="BQ75" s="1660"/>
      <c r="BR75" s="1660"/>
      <c r="BS75" s="1660"/>
      <c r="BT75" s="1660"/>
      <c r="BU75" s="1660"/>
      <c r="BV75" s="1660"/>
      <c r="BW75" s="1660"/>
      <c r="BX75" s="1660"/>
      <c r="BY75" s="1660"/>
      <c r="BZ75" s="1660"/>
      <c r="CA75" s="1660"/>
      <c r="CB75" s="1660"/>
      <c r="CC75" s="1660"/>
      <c r="CD75" s="1660"/>
      <c r="CE75" s="1660"/>
      <c r="CF75" s="1660"/>
      <c r="CG75" s="1660"/>
      <c r="CH75" s="1660"/>
      <c r="CI75" s="1660"/>
      <c r="CJ75" s="1660"/>
      <c r="CK75" s="1660"/>
      <c r="CL75" s="1660"/>
      <c r="CM75" s="1660"/>
      <c r="CN75" s="1660"/>
      <c r="CO75" s="1660"/>
      <c r="CP75" s="1660"/>
      <c r="CQ75" s="1660"/>
      <c r="CR75" s="1660"/>
      <c r="CS75" s="1660"/>
      <c r="CT75" s="1660"/>
      <c r="CU75" s="1660"/>
      <c r="CV75" s="1660"/>
      <c r="CW75" s="1660"/>
      <c r="CX75" s="1660"/>
      <c r="CY75" s="1660"/>
      <c r="CZ75" s="1660"/>
    </row>
    <row customHeight="1" ht="27">
      <c r="P76" s="505"/>
      <c r="V76" s="2088"/>
      <c r="W76" s="2088"/>
      <c r="X76" s="2088"/>
      <c r="Y76" s="2088"/>
      <c r="Z76" s="2088"/>
      <c r="AA76" s="2088"/>
      <c r="AB76" s="2088"/>
      <c r="AC76" s="2088"/>
      <c r="AD76" s="2088"/>
      <c r="AE76" s="2088"/>
      <c r="AF76" s="2088"/>
      <c r="AG76" s="2088"/>
      <c r="AH76" s="2088"/>
      <c r="AI76" s="2088"/>
      <c r="AJ76" s="2088"/>
      <c r="AK76" s="2088"/>
      <c r="AL76" s="2088"/>
      <c r="AM76" s="2088"/>
      <c r="AN76" s="2088"/>
      <c r="AO76" s="2088"/>
      <c r="AP76" s="2215"/>
      <c r="AQ76" s="2215"/>
      <c r="AR76" s="2215"/>
      <c r="AS76" s="2215"/>
      <c r="AT76" s="2215"/>
      <c r="AU76" s="2215"/>
      <c r="AV76" s="2215"/>
      <c r="AW76" s="2215"/>
      <c r="AX76" s="2215"/>
      <c r="AY76" s="2215"/>
      <c r="AZ76" s="2215"/>
      <c r="BA76" s="2215"/>
      <c r="BB76" s="2215"/>
      <c r="BC76" s="2215"/>
      <c r="BD76" s="2215"/>
      <c r="BE76" s="2215"/>
      <c r="BF76" s="2215"/>
      <c r="BG76" s="2215"/>
      <c r="BH76" s="2215"/>
      <c r="BI76" s="2215"/>
      <c r="BJ76" s="2215"/>
      <c r="BK76" s="2215"/>
      <c r="BL76" s="2215"/>
      <c r="BM76" s="2215"/>
      <c r="BN76" s="2215"/>
      <c r="BO76" s="2215"/>
      <c r="BP76" s="2215"/>
      <c r="BQ76" s="2215"/>
      <c r="BR76" s="2215"/>
      <c r="BS76" s="2215"/>
      <c r="BT76" s="2215"/>
      <c r="BU76" s="2215"/>
      <c r="BV76" s="2215"/>
      <c r="BW76" s="2215"/>
      <c r="BX76" s="2215"/>
      <c r="BY76" s="2215"/>
      <c r="BZ76" s="2215"/>
      <c r="CA76" s="2215"/>
      <c r="CB76" s="2215"/>
      <c r="CC76" s="2215"/>
      <c r="CD76" s="2215"/>
      <c r="CE76" s="2215"/>
      <c r="CF76" s="2215"/>
      <c r="CG76" s="2215"/>
      <c r="CH76" s="2215"/>
      <c r="CI76" s="2215"/>
      <c r="CJ76" s="2215"/>
      <c r="CK76" s="2215"/>
      <c r="CL76" s="2215"/>
      <c r="CM76" s="2215"/>
      <c r="CN76" s="2215"/>
      <c r="CO76" s="2215"/>
      <c r="CP76" s="2215"/>
      <c r="CQ76" s="2215"/>
      <c r="CR76" s="2215"/>
      <c r="CS76" s="2215"/>
      <c r="CT76" s="2215"/>
      <c r="CU76" s="2215"/>
      <c r="CV76" s="2215"/>
      <c r="CW76" s="2215"/>
      <c r="CX76" s="2215"/>
      <c r="CY76" s="2215"/>
      <c r="CZ76" s="2215"/>
      <c r="DA76" s="2088"/>
      <c r="DB76" s="2088"/>
    </row>
    <row customHeight="1" ht="18">
      <c r="P77" s="505"/>
      <c r="V77" s="2088"/>
      <c r="W77" s="2088"/>
      <c r="X77" s="2088"/>
      <c r="Y77" s="2088"/>
      <c r="Z77" s="2088"/>
      <c r="AA77" s="2088"/>
      <c r="AB77" s="2088"/>
      <c r="AC77" s="2088"/>
      <c r="AD77" s="2088"/>
      <c r="AE77" s="2088"/>
      <c r="AF77" s="2088"/>
      <c r="AG77" s="2088"/>
      <c r="AH77" s="2088"/>
      <c r="AI77" s="2088"/>
      <c r="AJ77" s="2088"/>
      <c r="AK77" s="2088"/>
      <c r="AL77" s="2088"/>
      <c r="AM77" s="2088"/>
      <c r="AN77" s="2088"/>
      <c r="AO77" s="2088"/>
      <c r="AP77" s="2215"/>
      <c r="AQ77" s="2215"/>
      <c r="AR77" s="2215"/>
      <c r="AS77" s="2215"/>
      <c r="AT77" s="2215"/>
      <c r="AU77" s="2215"/>
      <c r="AV77" s="2215"/>
      <c r="AW77" s="2215"/>
      <c r="AX77" s="2215"/>
      <c r="AY77" s="2215"/>
      <c r="AZ77" s="2215"/>
      <c r="BA77" s="2215"/>
      <c r="BB77" s="2215"/>
      <c r="BC77" s="2215"/>
      <c r="BD77" s="2215"/>
      <c r="BE77" s="2215"/>
      <c r="BF77" s="2215"/>
      <c r="BG77" s="2215"/>
      <c r="BH77" s="2215"/>
      <c r="BI77" s="2215"/>
      <c r="BJ77" s="2215"/>
      <c r="BK77" s="2215"/>
      <c r="BL77" s="2215"/>
      <c r="BM77" s="2215"/>
      <c r="BN77" s="2215"/>
      <c r="BO77" s="2215"/>
      <c r="BP77" s="2215"/>
      <c r="BQ77" s="2215"/>
      <c r="BR77" s="2215"/>
      <c r="BS77" s="2215"/>
      <c r="BT77" s="2215"/>
      <c r="BU77" s="2215"/>
      <c r="BV77" s="2215"/>
      <c r="BW77" s="2215"/>
      <c r="BX77" s="2215"/>
      <c r="BY77" s="2215"/>
      <c r="BZ77" s="2215"/>
      <c r="CA77" s="2215"/>
      <c r="CB77" s="2215"/>
      <c r="CC77" s="2215"/>
      <c r="CD77" s="2215"/>
      <c r="CE77" s="2215"/>
      <c r="CF77" s="2215"/>
      <c r="CG77" s="2215"/>
      <c r="CH77" s="2215"/>
      <c r="CI77" s="2215"/>
      <c r="CJ77" s="2215"/>
      <c r="CK77" s="2215"/>
      <c r="CL77" s="2215"/>
      <c r="CM77" s="2215"/>
      <c r="CN77" s="2215"/>
      <c r="CO77" s="2215"/>
      <c r="CP77" s="2215"/>
      <c r="CQ77" s="2215"/>
      <c r="CR77" s="2215"/>
      <c r="CS77" s="2215"/>
      <c r="CT77" s="2215"/>
      <c r="CU77" s="2215"/>
      <c r="CV77" s="2215"/>
      <c r="CW77" s="2215"/>
      <c r="CX77" s="2215"/>
      <c r="CY77" s="2215"/>
      <c r="CZ77" s="2215"/>
      <c r="DA77" s="2088"/>
      <c r="DB77" s="2088"/>
    </row>
  </sheetData>
  <sheetProtection formatColumns="0" formatRows="0" autoFilter="0" sort="0" insertRows="0" insertColumns="1" deleteRows="0" deleteColumns="0"/>
  <mergeCells count="355">
    <mergeCell ref="AN19:AN22"/>
    <mergeCell ref="AO19:AO22"/>
    <mergeCell ref="E2:E17"/>
    <mergeCell ref="X2:AF2"/>
    <mergeCell ref="AG2:DA2"/>
    <mergeCell ref="F3:F16"/>
    <mergeCell ref="X3:AF3"/>
    <mergeCell ref="AG3:DA3"/>
    <mergeCell ref="G4:G15"/>
    <mergeCell ref="X4:AF4"/>
    <mergeCell ref="AG4:DA4"/>
    <mergeCell ref="H5:H14"/>
    <mergeCell ref="X5:AF5"/>
    <mergeCell ref="AG5:DA5"/>
    <mergeCell ref="I6:I13"/>
    <mergeCell ref="Q6:Q13"/>
    <mergeCell ref="X6:AF6"/>
    <mergeCell ref="AG6:DA6"/>
    <mergeCell ref="DB9:DB12"/>
    <mergeCell ref="J7:J12"/>
    <mergeCell ref="R7:R12"/>
    <mergeCell ref="X7:AF7"/>
    <mergeCell ref="AG7:DA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DA54"/>
    <mergeCell ref="K55:K58"/>
    <mergeCell ref="AD48:AE48"/>
    <mergeCell ref="AM48:AN48"/>
    <mergeCell ref="X41:AF41"/>
    <mergeCell ref="AG41:AO41"/>
    <mergeCell ref="U42:DA42"/>
    <mergeCell ref="U43:U47"/>
    <mergeCell ref="V43:V47"/>
    <mergeCell ref="X43:AE43"/>
    <mergeCell ref="AF43:AF47"/>
    <mergeCell ref="AG43:AN43"/>
    <mergeCell ref="AO43:AO47"/>
    <mergeCell ref="AC55:AC58"/>
    <mergeCell ref="AE55:AE58"/>
    <mergeCell ref="AD55:AD58"/>
    <mergeCell ref="E49:E70"/>
    <mergeCell ref="X49:AF49"/>
    <mergeCell ref="AG49:DA49"/>
    <mergeCell ref="F50:F69"/>
    <mergeCell ref="X50:AF50"/>
    <mergeCell ref="AG50:DA50"/>
    <mergeCell ref="G51:G68"/>
    <mergeCell ref="X51:AF51"/>
    <mergeCell ref="AG51:DA51"/>
    <mergeCell ref="H52:H67"/>
    <mergeCell ref="X52:AF52"/>
    <mergeCell ref="AG52:DA52"/>
    <mergeCell ref="I53:I66"/>
    <mergeCell ref="Q53:Q66"/>
    <mergeCell ref="L56:L57"/>
    <mergeCell ref="AF55:AF58"/>
    <mergeCell ref="AH44:AK44"/>
    <mergeCell ref="AL44:AN45"/>
    <mergeCell ref="AH45:AH47"/>
    <mergeCell ref="X53:AF53"/>
    <mergeCell ref="AG53:DA53"/>
    <mergeCell ref="AI45:AK45"/>
    <mergeCell ref="AI46:AI47"/>
    <mergeCell ref="AJ46:AK46"/>
    <mergeCell ref="AL46:AL47"/>
    <mergeCell ref="AM46:AN47"/>
    <mergeCell ref="DA43:DA47"/>
    <mergeCell ref="X44:X47"/>
    <mergeCell ref="AG44:AG47"/>
    <mergeCell ref="V77:DB77"/>
    <mergeCell ref="U39:V39"/>
    <mergeCell ref="X39:AE39"/>
    <mergeCell ref="AG39:AN39"/>
    <mergeCell ref="U38:V38"/>
    <mergeCell ref="X38:AE38"/>
    <mergeCell ref="AG38:AN38"/>
    <mergeCell ref="AL55:AL58"/>
    <mergeCell ref="AM55:AM58"/>
    <mergeCell ref="AN55:AN58"/>
    <mergeCell ref="AO55:AO58"/>
    <mergeCell ref="V76:DB76"/>
    <mergeCell ref="DB42:DB47"/>
    <mergeCell ref="DB56:DB59"/>
    <mergeCell ref="V73:DB73"/>
    <mergeCell ref="V74:DB74"/>
    <mergeCell ref="Y44:AB44"/>
    <mergeCell ref="Y45:Y47"/>
    <mergeCell ref="Z45:AB45"/>
    <mergeCell ref="AA46:AB46"/>
    <mergeCell ref="Z46:Z47"/>
    <mergeCell ref="AC46:AC47"/>
    <mergeCell ref="AD46:AE47"/>
    <mergeCell ref="AC44:AE45"/>
    <mergeCell ref="DB62:DB65"/>
    <mergeCell ref="J60:J65"/>
    <mergeCell ref="R60:R65"/>
    <mergeCell ref="X60:AF60"/>
    <mergeCell ref="AG60:DA60"/>
    <mergeCell ref="S61:S64"/>
    <mergeCell ref="K61:K64"/>
    <mergeCell ref="L62:L63"/>
    <mergeCell ref="AC61:AC64"/>
    <mergeCell ref="AE61:AE64"/>
    <mergeCell ref="AD61:AD64"/>
    <mergeCell ref="AF61:AF64"/>
    <mergeCell ref="AL61:AL64"/>
    <mergeCell ref="AM61:AM64"/>
    <mergeCell ref="AN61:AN64"/>
    <mergeCell ref="AO61:AO64"/>
    <mergeCell ref="AU8:AU11"/>
    <mergeCell ref="AV8:AV11"/>
    <mergeCell ref="AW8:AW11"/>
    <mergeCell ref="AX8:AX11"/>
    <mergeCell ref="AP33:AW33"/>
    <mergeCell ref="AP34:AW34"/>
    <mergeCell ref="AP35:AW35"/>
    <mergeCell ref="AP36:AW36"/>
    <mergeCell ref="AP38:AW38"/>
    <mergeCell ref="AP39:AW39"/>
    <mergeCell ref="AP41:AX41"/>
    <mergeCell ref="AP43:AW43"/>
    <mergeCell ref="AX43:AX47"/>
    <mergeCell ref="AP44:AP47"/>
    <mergeCell ref="AQ44:AT44"/>
    <mergeCell ref="AU44:AW45"/>
    <mergeCell ref="AQ45:AQ47"/>
    <mergeCell ref="AR45:AT45"/>
    <mergeCell ref="AR46:AR47"/>
    <mergeCell ref="AS46:AT46"/>
    <mergeCell ref="AU46:AU47"/>
    <mergeCell ref="AV46:AW47"/>
    <mergeCell ref="AV48:AW48"/>
    <mergeCell ref="AU55:AU58"/>
    <mergeCell ref="AV55:AV58"/>
    <mergeCell ref="AW55:AW58"/>
    <mergeCell ref="AX55:AX58"/>
    <mergeCell ref="AU61:AU64"/>
    <mergeCell ref="AV61:AV64"/>
    <mergeCell ref="AW61:AW64"/>
    <mergeCell ref="AX61:AX64"/>
    <mergeCell ref="BD8:BD11"/>
    <mergeCell ref="BE8:BE11"/>
    <mergeCell ref="BF8:BF11"/>
    <mergeCell ref="BG8:BG11"/>
    <mergeCell ref="AY33:BF33"/>
    <mergeCell ref="AY34:BF34"/>
    <mergeCell ref="AY35:BF35"/>
    <mergeCell ref="AY36:BF36"/>
    <mergeCell ref="AY38:BF38"/>
    <mergeCell ref="AY39:BF39"/>
    <mergeCell ref="AY41:BG41"/>
    <mergeCell ref="AY43:BF43"/>
    <mergeCell ref="BG43:BG47"/>
    <mergeCell ref="AY44:AY47"/>
    <mergeCell ref="AZ44:BC44"/>
    <mergeCell ref="BD44:BF45"/>
    <mergeCell ref="AZ45:AZ47"/>
    <mergeCell ref="BA45:BC45"/>
    <mergeCell ref="BA46:BA47"/>
    <mergeCell ref="BB46:BC46"/>
    <mergeCell ref="BD46:BD47"/>
    <mergeCell ref="BE46:BF47"/>
    <mergeCell ref="BE48:BF48"/>
    <mergeCell ref="BD55:BD58"/>
    <mergeCell ref="BE55:BE58"/>
    <mergeCell ref="BF55:BF58"/>
    <mergeCell ref="BG55:BG58"/>
    <mergeCell ref="BD61:BD64"/>
    <mergeCell ref="BE61:BE64"/>
    <mergeCell ref="BF61:BF64"/>
    <mergeCell ref="BG61:BG64"/>
    <mergeCell ref="BM8:BM11"/>
    <mergeCell ref="BN8:BN11"/>
    <mergeCell ref="BO8:BO11"/>
    <mergeCell ref="BP8:BP11"/>
    <mergeCell ref="BH33:BO33"/>
    <mergeCell ref="BH34:BO34"/>
    <mergeCell ref="BH35:BO35"/>
    <mergeCell ref="BH36:BO36"/>
    <mergeCell ref="BH38:BO38"/>
    <mergeCell ref="BH39:BO39"/>
    <mergeCell ref="BH41:BP41"/>
    <mergeCell ref="BH43:BO43"/>
    <mergeCell ref="BP43:BP47"/>
    <mergeCell ref="BH44:BH47"/>
    <mergeCell ref="BI44:BL44"/>
    <mergeCell ref="BM44:BO45"/>
    <mergeCell ref="BI45:BI47"/>
    <mergeCell ref="BJ45:BL45"/>
    <mergeCell ref="BJ46:BJ47"/>
    <mergeCell ref="BK46:BL46"/>
    <mergeCell ref="BM46:BM47"/>
    <mergeCell ref="BN46:BO47"/>
    <mergeCell ref="BN48:BO48"/>
    <mergeCell ref="BM55:BM58"/>
    <mergeCell ref="BN55:BN58"/>
    <mergeCell ref="BO55:BO58"/>
    <mergeCell ref="BP55:BP58"/>
    <mergeCell ref="BM61:BM64"/>
    <mergeCell ref="BN61:BN64"/>
    <mergeCell ref="BO61:BO64"/>
    <mergeCell ref="BP61:BP64"/>
    <mergeCell ref="BV8:BV11"/>
    <mergeCell ref="BW8:BW11"/>
    <mergeCell ref="BX8:BX11"/>
    <mergeCell ref="BY8:BY11"/>
    <mergeCell ref="BQ33:BX33"/>
    <mergeCell ref="BQ34:BX34"/>
    <mergeCell ref="BQ35:BX35"/>
    <mergeCell ref="BQ36:BX36"/>
    <mergeCell ref="BQ38:BX38"/>
    <mergeCell ref="BQ39:BX39"/>
    <mergeCell ref="BQ41:BY41"/>
    <mergeCell ref="BQ43:BX43"/>
    <mergeCell ref="BY43:BY47"/>
    <mergeCell ref="BQ44:BQ47"/>
    <mergeCell ref="BR44:BU44"/>
    <mergeCell ref="BV44:BX45"/>
    <mergeCell ref="BR45:BR47"/>
    <mergeCell ref="BS45:BU45"/>
    <mergeCell ref="BS46:BS47"/>
    <mergeCell ref="BT46:BU46"/>
    <mergeCell ref="BV46:BV47"/>
    <mergeCell ref="BW46:BX47"/>
    <mergeCell ref="BW48:BX48"/>
    <mergeCell ref="BV55:BV58"/>
    <mergeCell ref="BW55:BW58"/>
    <mergeCell ref="BX55:BX58"/>
    <mergeCell ref="BY55:BY58"/>
    <mergeCell ref="BV61:BV64"/>
    <mergeCell ref="BW61:BW64"/>
    <mergeCell ref="BX61:BX64"/>
    <mergeCell ref="BY61:BY64"/>
    <mergeCell ref="CE8:CE11"/>
    <mergeCell ref="CF8:CF11"/>
    <mergeCell ref="CG8:CG11"/>
    <mergeCell ref="CH8:CH11"/>
    <mergeCell ref="BZ33:CG33"/>
    <mergeCell ref="BZ34:CG34"/>
    <mergeCell ref="BZ35:CG35"/>
    <mergeCell ref="BZ36:CG36"/>
    <mergeCell ref="BZ38:CG38"/>
    <mergeCell ref="BZ39:CG39"/>
    <mergeCell ref="BZ41:CH41"/>
    <mergeCell ref="BZ43:CG43"/>
    <mergeCell ref="CH43:CH47"/>
    <mergeCell ref="BZ44:BZ47"/>
    <mergeCell ref="CA44:CD44"/>
    <mergeCell ref="CE44:CG45"/>
    <mergeCell ref="CA45:CA47"/>
    <mergeCell ref="CB45:CD45"/>
    <mergeCell ref="CB46:CB47"/>
    <mergeCell ref="CC46:CD46"/>
    <mergeCell ref="CE46:CE47"/>
    <mergeCell ref="CF46:CG47"/>
    <mergeCell ref="CF48:CG48"/>
    <mergeCell ref="CE55:CE58"/>
    <mergeCell ref="CF55:CF58"/>
    <mergeCell ref="CG55:CG58"/>
    <mergeCell ref="CH55:CH58"/>
    <mergeCell ref="CE61:CE64"/>
    <mergeCell ref="CF61:CF64"/>
    <mergeCell ref="CG61:CG64"/>
    <mergeCell ref="CH61:CH64"/>
    <mergeCell ref="CN8:CN11"/>
    <mergeCell ref="CO8:CO11"/>
    <mergeCell ref="CP8:CP11"/>
    <mergeCell ref="CQ8:CQ11"/>
    <mergeCell ref="CI33:CP33"/>
    <mergeCell ref="CI34:CP34"/>
    <mergeCell ref="CI35:CP35"/>
    <mergeCell ref="CI36:CP36"/>
    <mergeCell ref="CI38:CP38"/>
    <mergeCell ref="CI39:CP39"/>
    <mergeCell ref="CI41:CQ41"/>
    <mergeCell ref="CI43:CP43"/>
    <mergeCell ref="CQ43:CQ47"/>
    <mergeCell ref="CI44:CI47"/>
    <mergeCell ref="CJ44:CM44"/>
    <mergeCell ref="CN44:CP45"/>
    <mergeCell ref="CJ45:CJ47"/>
    <mergeCell ref="CK45:CM45"/>
    <mergeCell ref="CK46:CK47"/>
    <mergeCell ref="CL46:CM46"/>
    <mergeCell ref="CN46:CN47"/>
    <mergeCell ref="CO46:CP47"/>
    <mergeCell ref="CO48:CP48"/>
    <mergeCell ref="CN55:CN58"/>
    <mergeCell ref="CO55:CO58"/>
    <mergeCell ref="CP55:CP58"/>
    <mergeCell ref="CQ55:CQ58"/>
    <mergeCell ref="CN61:CN64"/>
    <mergeCell ref="CO61:CO64"/>
    <mergeCell ref="CP61:CP64"/>
    <mergeCell ref="CQ61:CQ64"/>
    <mergeCell ref="CW8:CW11"/>
    <mergeCell ref="CX8:CX11"/>
    <mergeCell ref="CY8:CY11"/>
    <mergeCell ref="CZ8:CZ11"/>
    <mergeCell ref="CR33:CY33"/>
    <mergeCell ref="CR34:CY34"/>
    <mergeCell ref="CR35:CY35"/>
    <mergeCell ref="CR36:CY36"/>
    <mergeCell ref="CR38:CY38"/>
    <mergeCell ref="CR39:CY39"/>
    <mergeCell ref="CR41:CZ41"/>
    <mergeCell ref="CR43:CY43"/>
    <mergeCell ref="CZ43:CZ47"/>
    <mergeCell ref="CR44:CR47"/>
    <mergeCell ref="CS44:CV44"/>
    <mergeCell ref="CW44:CY45"/>
    <mergeCell ref="CS45:CS47"/>
    <mergeCell ref="CT45:CV45"/>
    <mergeCell ref="CT46:CT47"/>
    <mergeCell ref="CU46:CV46"/>
    <mergeCell ref="CW46:CW47"/>
    <mergeCell ref="CX46:CY47"/>
    <mergeCell ref="CX48:CY48"/>
    <mergeCell ref="CW55:CW58"/>
    <mergeCell ref="CX55:CX58"/>
    <mergeCell ref="CY55:CY58"/>
    <mergeCell ref="CZ55:CZ58"/>
    <mergeCell ref="CW61:CW64"/>
    <mergeCell ref="CX61:CX64"/>
    <mergeCell ref="CY61:CY64"/>
    <mergeCell ref="CZ61:CZ64"/>
  </mergeCells>
  <dataValidations count="8">
    <dataValidation type="list" allowBlank="1" showInputMessage="1" showErrorMessage="1" errorTitle="Ошибка" error="Выберите значение из списка" sqref="V65598 V131134 V196670 V262206 V327742 V393278 V458814 V524350 V589886 V655422 V720958 V786494 V852030 V917566 V983102">
      <formula1>kind_of_heat_transfer</formula1>
    </dataValidation>
    <dataValidation type="list" allowBlank="1" showInputMessage="1" showErrorMessage="1" errorTitle="Ошибка" error="Выберите значение из списка" sqref="X983100:Z983100 X65596:Z65596 X131132:Z131132 X196668:Z196668 X262204:Z262204 X327740:Z327740 X393276:Z393276 X458812:Z458812 X524348:Z524348 X589884:Z589884 X655420:Z655420 X720956:Z720956 X786492:Z786492 X852028:Z852028 X917564:Z917564 AG983100:AI983100 AG65596:AI65596 AG131132:AI131132 AG196668:AI196668 AG262204:AI262204 AG327740:AI327740 AG393276:AI393276 AG458812:AI458812 AG524348:AI524348 AG589884:AI589884 AG655420:AI655420 AG720956:AI720956 AG786492:AI786492 AG852028:AI852028 AG917564:AI917564">
      <formula1>kind_of_scheme_in</formula1>
    </dataValidation>
    <dataValidation type="list" allowBlank="1" showInputMessage="1" errorTitle="Ошибка" error="Выберите значение из списка" prompt="Выберите значение из списка" sqref="X983101:DA983101 X65597:DA65597 X131133:DA131133 X196669:DA196669 X262205:DA262205 X327741:DA327741 X393277:DA393277 X458813:DA458813 X524349:DA524349 X589885:DA589885 X655421:DA655421 X720957:DA720957 X786493:DA786493 X852029:DA852029 X917565:DA917565">
      <formula1>kind_of_cons</formula1>
    </dataValidation>
    <dataValidation allowBlank="1" sqref="U131136:DB131142 U196672:DB196678 U262208:DB262214 U327744:DB327750 U393280:DB393286 U458816:DB458822 U524352:DB524358 U589888:DB589894 U655424:DB655430 U720960:DB720966 U786496:DB786502 U852032:DB852038 U917568:DB917574 U983104:DB983110 U65600:DB65606"/>
    <dataValidation type="textLength" operator="lessThanOrEqual" allowBlank="1" showInputMessage="1" showErrorMessage="1" errorTitle="Ошибка" error="Допускается ввод не более 900 символов!" sqref="DB65592:DB65599 DB131128:DB131135 DB196664:DB196671 DB262200:DB262207 DB327736:DB327743 DB393272:DB393279 DB458808:DB458815 DB524344:DB524351 DB589880:DB589887 DB655416:DB655423 DB720952:DB720959 DB786488:DB786495 DB852024:DB852031 DB917560:DB917567 DB983096:DB98310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8 AC131134 AC196670 AC262206 AC327742 AC393278 AC458814 AC524350 AC589886 AC655422 AC720958 AC786494 AC852030 AC917566 AC983102 AE65598 AE131134 AE196670 AE262206 AE327742 AE393278 AE458814 AE524350 AE589886 AE655422 AE720958 AE786494 AE852030 AE917566 AE983102 AN55 AL65598 AL131134 AL196670 AL262206 AL327742 AL393278 AL458814 AL524350 AL589886 AL655422 AL720958 AL786494 AL852030 AL917566 AL983102 AN65598 AN131134 AN196670 AN262206 AN327742 AN393278 AN458814 AN524350 AN589886 AN655422 AN720958 AN786494 AN852030 AN917566 AN983102 AC55 AE55 AL55 AE8 AC8 AL19:AL21 AN19:AN21 AN8 AL8 AC61 AE61 AL61 AN61 AU8 AW8 AU55 AW55 AU61 AW61 BD8 BF8 BD55 BF55 BD61 BF61 BM8 BO8 BM55 BO55 BM61 BO61 BV8 BX8 BV55 BX55 BV61 BX61 CE8 CG8 CE55 CG55 CE61 CG61 CN8 CP8 CN55 CP55 CN61 CP61 CW8 CY8 CW55 CY55 CW61 CY61"/>
    <dataValidation allowBlank="1" promptTitle="checkPeriodRange" sqref="AB65599 AB131135 AB196671 AB262207 AB327743 AB393279 AB458815 AB524351 AB589887 AB655423 AB720959 AB786495 AB852031 AB917567 AB983103 AB10:AB11 AK65599 AK131135 AK196671 AK262207 AK327743 AK393279 AK458815 AK524351 AK589887 AK655423 AK720959 AK786495 AK852031 AK917567 AK983103 AK10:AK11 AK57 AK22 AB57 AB63 AK63 AB64 AK64 AT10 AT11 AT57 AT63 AT64 BC10 BC11 BC57 BC63 BC64 BL10 BL11 BL57 BL63 BL64 BU10 BU11 BU57 BU63 BU64 CD10 CD11 CD57 CD63 CD64 CM10 CM11 CM57 CM63 CM64 CV10 CV11 CV57 CV63 CV64"/>
    <dataValidation allowBlank="1" showInputMessage="1" showErrorMessage="1" prompt="Для выбора выполните двойной щелчок левой клавиши мыши по соответствующей ячейке." sqref="AD65598 AD131134 AD196670 AD262206 AD327742 AD393278 AD458814 AD524350 AD589886 AD655422 AD720958 AD786494 AD852030 AD917566 AD983102 AF131134 AF458814 AF196670 AF262206 AF327742 AF393278 AF524350 AF589886 AF655422 AF720958 AF786494 AF852030 AF917566 AF983102 AF65598 AM65598 AM131134 AM196670 AM262206 AM327742 AM393278 AM458814 AM524350 AM589886 AM655422 AM720958 AM786494 AM852030 AM917566 AM983102 AO393278:CZ393278 AO327742:CZ327742 AO524350:CZ524350 AO55 AV55 AX55 BE55 BG55 BN55 BP55 BW55 BY55 CF55 CH55 CO55 CQ55 CX55 CZ55 AO589886:CZ589886 AO655422:CZ655422 AO19:AO21 AO720958:CZ720958 AO786494:CZ786494 AO852030:CZ852030 AO917566:CZ917566 AO983102:CZ983102 AO65598:CZ65598 AO131134:CZ131134 AO458814:CZ458814 AF55 AO196670:CZ196670 AF8 AD8 AM55 AM19:AM21 AO262206:CZ262206 AD55 AO8 AV8 AX8 BE8 BG8 BN8 BP8 BW8 BY8 CF8 CH8 CO8 CQ8 CX8 CZ8 AM8 AD61 AF61 AM61 AO61 AV61 AX61 BE61 BG61 BN61 BP61 BW61 BY61 CF61 CH61 CO61 CQ61 CX61 CZ6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5F6FE6-7C76-9176-5455-2806F14EEFF2}"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3" style="1660" width="21.7109375" hidden="1" customWidth="1"/>
    <col min="24" max="24" style="1660" width="11.7109375" hidden="1" customWidth="1"/>
    <col min="25" max="25" style="1660" width="3.7109375" hidden="1" customWidth="1"/>
    <col min="26" max="26" style="1660" width="11.7109375" hidden="1" customWidth="1"/>
    <col min="27" max="27" style="1660" width="8.57421875" hidden="1" customWidth="1"/>
    <col min="28" max="28" style="1660" width="5.421875" customWidth="1"/>
    <col min="29" max="30" style="1660" width="3.7109375" customWidth="1"/>
    <col min="31" max="31" style="1660" width="24.7109375" customWidth="1"/>
    <col min="32" max="34" style="1660" width="3.7109375" customWidth="1"/>
    <col min="35" max="35" style="1660" width="24.7109375" customWidth="1"/>
    <col min="36" max="38" style="1660" width="3.7109375" customWidth="1"/>
    <col min="39" max="39" style="1660" width="18.8515625" customWidth="1"/>
    <col min="40" max="41" style="1660" width="21.7109375" customWidth="1"/>
    <col min="42" max="42" style="1660" width="11.7109375" customWidth="1"/>
    <col min="43" max="43" style="1660" width="3.7109375" customWidth="1"/>
    <col min="44" max="44" style="1660" width="11.7109375" customWidth="1"/>
    <col min="45" max="45" style="1660" width="8.57421875" customWidth="1"/>
    <col min="46" max="46" style="1660" width="4.7109375" customWidth="1"/>
    <col min="47" max="47" style="1660" width="115.7109375" customWidth="1"/>
    <col min="48" max="49" style="1667" width="10.57421875"/>
    <col min="50" max="50" style="1667" width="11.140625" customWidth="1"/>
    <col min="51" max="52" style="1667" width="10.57421875"/>
  </cols>
  <sheetData>
    <row customHeight="1" ht="14.25" hidden="1">
      <c r="W1" s="315"/>
      <c r="X1" s="315"/>
      <c r="AO1" s="315"/>
      <c r="AP1" s="315"/>
    </row>
    <row customHeight="1" ht="21" hidden="1">
      <c r="A2" s="1380"/>
      <c r="B2" s="1380"/>
      <c r="C2" s="1380"/>
      <c r="D2" s="1380"/>
      <c r="E2" s="2089">
        <v>1</v>
      </c>
      <c r="F2" s="1380"/>
      <c r="G2" s="1380"/>
      <c r="H2" s="1380"/>
      <c r="I2" s="1380"/>
      <c r="J2" s="1380"/>
      <c r="K2" s="1380"/>
      <c r="L2" s="1381"/>
      <c r="M2" s="1382"/>
      <c r="N2" s="1382"/>
      <c r="O2" s="1382"/>
      <c r="P2" s="1426"/>
      <c r="Q2" s="867"/>
      <c r="R2" s="343"/>
      <c r="S2" s="1353">
        <f>INDEX(PT_DIFFERENTIATION_NUM_NTAR,MATCH(A2,PT_DIFFERENTIATION_NTAR_ID,0))</f>
      </c>
      <c r="T2" s="278" t="s">
        <v>122</v>
      </c>
      <c r="U2" s="280"/>
      <c r="V2" s="2084"/>
      <c r="W2" s="2084"/>
      <c r="X2" s="2084"/>
      <c r="Y2" s="2084"/>
      <c r="Z2" s="2084"/>
      <c r="AA2" s="2085"/>
      <c r="AB2" s="2083">
        <f>INDEX(PT_DIFFERENTIATION_NTAR,MATCH(A2,PT_DIFFERENTIATION_NTAR_ID,0))</f>
      </c>
      <c r="AC2" s="2084"/>
      <c r="AD2" s="2084"/>
      <c r="AE2" s="2084"/>
      <c r="AF2" s="2084"/>
      <c r="AG2" s="2084"/>
      <c r="AH2" s="2084"/>
      <c r="AI2" s="2084"/>
      <c r="AJ2" s="2084"/>
      <c r="AK2" s="2084"/>
      <c r="AL2" s="2084"/>
      <c r="AM2" s="2084"/>
      <c r="AN2" s="2084"/>
      <c r="AO2" s="2084"/>
      <c r="AP2" s="2084"/>
      <c r="AQ2" s="2084"/>
      <c r="AR2" s="2084"/>
      <c r="AS2" s="2084"/>
      <c r="AT2" s="2085"/>
      <c r="AU2" s="1273" t="s">
        <v>403</v>
      </c>
      <c r="AW2" s="496"/>
      <c r="AX2" s="496" t="str">
        <f>IF(T2="","",T2)</f>
        <v>Наименование тарифа</v>
      </c>
      <c r="AY2" s="496"/>
      <c r="AZ2" s="496"/>
    </row>
    <row customHeight="1" ht="21" hidden="1">
      <c r="A3" s="1380"/>
      <c r="B3" s="1380"/>
      <c r="C3" s="1380"/>
      <c r="D3" s="1380"/>
      <c r="E3" s="2090"/>
      <c r="F3" s="2089">
        <v>1</v>
      </c>
      <c r="G3" s="1380"/>
      <c r="H3" s="1380"/>
      <c r="I3" s="1380"/>
      <c r="J3" s="1380"/>
      <c r="K3" s="1380"/>
      <c r="L3" s="1381"/>
      <c r="M3" s="1382"/>
      <c r="N3" s="1382"/>
      <c r="O3" s="1382"/>
      <c r="P3" s="1427"/>
      <c r="Q3" s="1428"/>
      <c r="R3" s="341"/>
      <c r="S3" s="1353">
        <f>INDEX(PT_DIFFERENTIATION_NUM_TER,MATCH(B3,PT_DIFFERENTIATION_TER_ID,0))</f>
      </c>
      <c r="T3" s="290" t="s">
        <v>404</v>
      </c>
      <c r="U3" s="280"/>
      <c r="V3" s="2084"/>
      <c r="W3" s="2084"/>
      <c r="X3" s="2084"/>
      <c r="Y3" s="2084"/>
      <c r="Z3" s="2084"/>
      <c r="AA3" s="2085"/>
      <c r="AB3" s="2083">
        <f>INDEX(PT_DIFFERENTIATION_TER,MATCH(B3,PT_DIFFERENTIATION_TER_ID,0))</f>
      </c>
      <c r="AC3" s="2084"/>
      <c r="AD3" s="2084"/>
      <c r="AE3" s="2084"/>
      <c r="AF3" s="2084"/>
      <c r="AG3" s="2084"/>
      <c r="AH3" s="2084"/>
      <c r="AI3" s="2084"/>
      <c r="AJ3" s="2084"/>
      <c r="AK3" s="2084"/>
      <c r="AL3" s="2084"/>
      <c r="AM3" s="2084"/>
      <c r="AN3" s="2084"/>
      <c r="AO3" s="2084"/>
      <c r="AP3" s="2084"/>
      <c r="AQ3" s="2084"/>
      <c r="AR3" s="2084"/>
      <c r="AS3" s="2084"/>
      <c r="AT3" s="2085"/>
      <c r="AU3" s="1273" t="s">
        <v>405</v>
      </c>
      <c r="AW3" s="496"/>
      <c r="AX3" s="496" t="str">
        <f>IF(T3="","",T3)</f>
        <v>Территория действия тарифа</v>
      </c>
      <c r="AY3" s="496"/>
      <c r="AZ3" s="496"/>
    </row>
    <row customHeight="1" ht="22.5" hidden="1">
      <c r="A4" s="1380"/>
      <c r="B4" s="1380"/>
      <c r="C4" s="1380"/>
      <c r="D4" s="1380"/>
      <c r="E4" s="2090"/>
      <c r="F4" s="2090"/>
      <c r="G4" s="2089">
        <v>1</v>
      </c>
      <c r="H4" s="1380"/>
      <c r="I4" s="1380"/>
      <c r="J4" s="1380"/>
      <c r="K4" s="1380"/>
      <c r="L4" s="1381"/>
      <c r="M4" s="1382"/>
      <c r="N4" s="1382"/>
      <c r="O4" s="1382"/>
      <c r="P4" s="1429"/>
      <c r="Q4" s="1428"/>
      <c r="R4" s="341"/>
      <c r="S4" s="1353">
        <f>INDEX(PT_DIFFERENTIATION_NUM_CS,MATCH(C4,PT_DIFFERENTIATION_CS_ID,0))</f>
      </c>
      <c r="T4" s="291" t="s">
        <v>406</v>
      </c>
      <c r="U4" s="280"/>
      <c r="V4" s="2084"/>
      <c r="W4" s="2084"/>
      <c r="X4" s="2084"/>
      <c r="Y4" s="2084"/>
      <c r="Z4" s="2084"/>
      <c r="AA4" s="2085"/>
      <c r="AB4" s="2083">
        <f>INDEX(PT_DIFFERENTIATION_CS,MATCH(C4,PT_DIFFERENTIATION_CS_ID,0))</f>
      </c>
      <c r="AC4" s="2084"/>
      <c r="AD4" s="2084"/>
      <c r="AE4" s="2084"/>
      <c r="AF4" s="2084"/>
      <c r="AG4" s="2084"/>
      <c r="AH4" s="2084"/>
      <c r="AI4" s="2084"/>
      <c r="AJ4" s="2084"/>
      <c r="AK4" s="2084"/>
      <c r="AL4" s="2084"/>
      <c r="AM4" s="2084"/>
      <c r="AN4" s="2084"/>
      <c r="AO4" s="2084"/>
      <c r="AP4" s="2084"/>
      <c r="AQ4" s="2084"/>
      <c r="AR4" s="2084"/>
      <c r="AS4" s="2084"/>
      <c r="AT4" s="2085"/>
      <c r="AU4" s="1273" t="s">
        <v>407</v>
      </c>
      <c r="AW4" s="496"/>
      <c r="AX4" s="496" t="str">
        <f>IF(T4="","",T4)</f>
        <v>Наименование системы теплоснабжения </v>
      </c>
      <c r="AY4" s="496"/>
      <c r="AZ4" s="496"/>
    </row>
    <row customHeight="1" ht="21" hidden="1">
      <c r="A5" s="1380"/>
      <c r="B5" s="1380"/>
      <c r="C5" s="1380"/>
      <c r="D5" s="1380"/>
      <c r="E5" s="2090"/>
      <c r="F5" s="2090"/>
      <c r="G5" s="2090"/>
      <c r="H5" s="2089">
        <v>1</v>
      </c>
      <c r="I5" s="1380"/>
      <c r="J5" s="1380"/>
      <c r="K5" s="1380"/>
      <c r="L5" s="1381"/>
      <c r="M5" s="1382"/>
      <c r="N5" s="1382"/>
      <c r="O5" s="1382"/>
      <c r="P5" s="1429"/>
      <c r="Q5" s="1428"/>
      <c r="R5" s="341"/>
      <c r="S5" s="1353">
        <f>INDEX(PT_DIFFERENTIATION_NUM_IST_TE,MATCH(D5,PT_DIFFERENTIATION_IST_TE_ID,0))</f>
      </c>
      <c r="T5" s="292" t="s">
        <v>408</v>
      </c>
      <c r="U5" s="280"/>
      <c r="V5" s="2084"/>
      <c r="W5" s="2084"/>
      <c r="X5" s="2084"/>
      <c r="Y5" s="2084"/>
      <c r="Z5" s="2084"/>
      <c r="AA5" s="2085"/>
      <c r="AB5" s="2083">
        <f>INDEX(PT_DIFFERENTIATION_IST_TE,MATCH(D5,PT_DIFFERENTIATION_IST_TE_ID,0))</f>
      </c>
      <c r="AC5" s="2084"/>
      <c r="AD5" s="2084"/>
      <c r="AE5" s="2084"/>
      <c r="AF5" s="2084"/>
      <c r="AG5" s="2084"/>
      <c r="AH5" s="2084"/>
      <c r="AI5" s="2084"/>
      <c r="AJ5" s="2084"/>
      <c r="AK5" s="2084"/>
      <c r="AL5" s="2084"/>
      <c r="AM5" s="2084"/>
      <c r="AN5" s="2084"/>
      <c r="AO5" s="2084"/>
      <c r="AP5" s="2084"/>
      <c r="AQ5" s="2084"/>
      <c r="AR5" s="2084"/>
      <c r="AS5" s="2084"/>
      <c r="AT5" s="2085"/>
      <c r="AU5" s="1273" t="s">
        <v>409</v>
      </c>
      <c r="AW5" s="496"/>
      <c r="AX5" s="496" t="str">
        <f>IF(T5="","",T5)</f>
        <v>Источник тепловой энергии  </v>
      </c>
      <c r="AY5" s="496"/>
      <c r="AZ5" s="496"/>
    </row>
    <row s="1667" customFormat="1" customHeight="1" ht="14.25" hidden="1">
      <c r="A6" s="1360"/>
      <c r="B6" s="1360"/>
      <c r="C6" s="1360"/>
      <c r="D6" s="1360"/>
      <c r="E6" s="2090"/>
      <c r="F6" s="2090"/>
      <c r="G6" s="2090"/>
      <c r="H6" s="2090"/>
      <c r="I6" s="2091">
        <f>S5&amp;".1"</f>
      </c>
      <c r="J6" s="1360"/>
      <c r="K6" s="1360"/>
      <c r="L6" s="1363" t="s">
        <v>410</v>
      </c>
      <c r="M6" s="506"/>
      <c r="N6" s="506"/>
      <c r="O6" s="506"/>
      <c r="P6" s="2093">
        <v>1</v>
      </c>
      <c r="Q6" s="1348"/>
      <c r="R6" s="344"/>
      <c r="S6" s="1037"/>
      <c r="T6" s="1400"/>
      <c r="U6" s="1401"/>
      <c r="V6" s="2130"/>
      <c r="W6" s="2130"/>
      <c r="X6" s="2130"/>
      <c r="Y6" s="2130"/>
      <c r="Z6" s="2130"/>
      <c r="AA6" s="2131"/>
      <c r="AB6" s="2129"/>
      <c r="AC6" s="2130"/>
      <c r="AD6" s="2130"/>
      <c r="AE6" s="2130"/>
      <c r="AF6" s="2130"/>
      <c r="AG6" s="2130"/>
      <c r="AH6" s="2130"/>
      <c r="AI6" s="2130"/>
      <c r="AJ6" s="2130"/>
      <c r="AK6" s="2130"/>
      <c r="AL6" s="2130"/>
      <c r="AM6" s="2130"/>
      <c r="AN6" s="2130"/>
      <c r="AO6" s="2130"/>
      <c r="AP6" s="2130"/>
      <c r="AQ6" s="2130"/>
      <c r="AR6" s="2130"/>
      <c r="AS6" s="2130"/>
      <c r="AT6" s="2131"/>
      <c r="AU6" s="1402"/>
      <c r="AW6" s="496"/>
      <c r="AX6" s="496" t="str">
        <f>IF(T6="","",T6)</f>
        <v/>
      </c>
      <c r="AY6" s="496"/>
      <c r="AZ6" s="496"/>
    </row>
    <row s="1667" customFormat="1" customHeight="1" ht="14.25" hidden="1">
      <c r="A7" s="1360"/>
      <c r="B7" s="1360"/>
      <c r="C7" s="1360"/>
      <c r="D7" s="1360"/>
      <c r="E7" s="2090"/>
      <c r="F7" s="2090"/>
      <c r="G7" s="2090"/>
      <c r="H7" s="2090"/>
      <c r="I7" s="2092"/>
      <c r="J7" s="2091">
        <f>S5&amp;".1"</f>
      </c>
      <c r="K7" s="1360"/>
      <c r="L7" s="1363"/>
      <c r="M7" s="506"/>
      <c r="N7" s="506"/>
      <c r="O7" s="506"/>
      <c r="P7" s="2093"/>
      <c r="Q7" s="2093">
        <v>1</v>
      </c>
      <c r="R7" s="345"/>
      <c r="S7" s="1037"/>
      <c r="T7" s="1416"/>
      <c r="U7" s="1401"/>
      <c r="V7" s="2130"/>
      <c r="W7" s="2130"/>
      <c r="X7" s="2130"/>
      <c r="Y7" s="2130"/>
      <c r="Z7" s="2130"/>
      <c r="AA7" s="2131"/>
      <c r="AB7" s="2129"/>
      <c r="AC7" s="2130"/>
      <c r="AD7" s="2130"/>
      <c r="AE7" s="2130"/>
      <c r="AF7" s="2130"/>
      <c r="AG7" s="2130"/>
      <c r="AH7" s="2130"/>
      <c r="AI7" s="2130"/>
      <c r="AJ7" s="2130"/>
      <c r="AK7" s="2130"/>
      <c r="AL7" s="2130"/>
      <c r="AM7" s="2130"/>
      <c r="AN7" s="2130"/>
      <c r="AO7" s="2130"/>
      <c r="AP7" s="2130"/>
      <c r="AQ7" s="2130"/>
      <c r="AR7" s="2130"/>
      <c r="AS7" s="2130"/>
      <c r="AT7" s="2131"/>
      <c r="AU7" s="1402"/>
      <c r="AW7" s="496"/>
      <c r="AX7" s="496" t="str">
        <f>IF(T7="","",T7)</f>
        <v/>
      </c>
      <c r="AY7" s="496"/>
      <c r="AZ7" s="496"/>
    </row>
    <row customHeight="1" ht="21" hidden="1">
      <c r="A8" s="1380"/>
      <c r="B8" s="1380"/>
      <c r="C8" s="1380"/>
      <c r="D8" s="1380"/>
      <c r="E8" s="2090"/>
      <c r="F8" s="2090"/>
      <c r="G8" s="2090"/>
      <c r="H8" s="2090"/>
      <c r="I8" s="2092"/>
      <c r="J8" s="2092"/>
      <c r="K8" s="2091">
        <f>S5&amp;".1"</f>
      </c>
      <c r="L8" s="1381"/>
      <c r="P8" s="2093"/>
      <c r="Q8" s="2093"/>
      <c r="R8" s="2169">
        <v>1</v>
      </c>
      <c r="S8" s="2166">
        <f>$K8</f>
      </c>
      <c r="T8" s="2163"/>
      <c r="U8" s="280"/>
      <c r="V8" s="746"/>
      <c r="W8" s="1272"/>
      <c r="X8" s="2094"/>
      <c r="Y8" s="1963" t="s">
        <v>66</v>
      </c>
      <c r="Z8" s="2094"/>
      <c r="AA8" s="1963" t="s">
        <v>66</v>
      </c>
      <c r="AB8" s="1963" t="s">
        <v>56</v>
      </c>
      <c r="AC8" s="2162"/>
      <c r="AD8" s="2039">
        <v>1</v>
      </c>
      <c r="AE8" s="2175"/>
      <c r="AF8" s="1963" t="s">
        <v>56</v>
      </c>
      <c r="AG8" s="2162"/>
      <c r="AH8" s="2039">
        <v>1</v>
      </c>
      <c r="AI8" s="2175"/>
      <c r="AJ8" s="1963" t="s">
        <v>56</v>
      </c>
      <c r="AK8" s="293"/>
      <c r="AL8" s="1354">
        <v>1</v>
      </c>
      <c r="AM8" s="1415"/>
      <c r="AN8" s="746"/>
      <c r="AO8" s="1272"/>
      <c r="AP8" s="1758"/>
      <c r="AQ8" s="1476" t="s">
        <v>66</v>
      </c>
      <c r="AR8" s="1758"/>
      <c r="AS8" s="1476" t="s">
        <v>66</v>
      </c>
      <c r="AT8" s="1365"/>
      <c r="AU8" s="2119" t="s">
        <v>470</v>
      </c>
      <c r="AV8" s="507">
        <f>STRCHECKDATE(V11:AT11)</f>
      </c>
      <c r="AW8" s="496"/>
      <c r="AX8" s="496" t="str">
        <f>IF(T8="","",T8)</f>
        <v/>
      </c>
      <c r="AY8" s="496"/>
      <c r="AZ8" s="496"/>
    </row>
    <row customHeight="1" ht="11.25" hidden="1">
      <c r="A9" s="1380"/>
      <c r="B9" s="1380"/>
      <c r="C9" s="1380"/>
      <c r="D9" s="1380"/>
      <c r="E9" s="2090"/>
      <c r="F9" s="2090"/>
      <c r="G9" s="2090"/>
      <c r="H9" s="2090"/>
      <c r="I9" s="2092"/>
      <c r="J9" s="2092"/>
      <c r="K9" s="2091"/>
      <c r="L9" s="1381"/>
      <c r="P9" s="2093"/>
      <c r="Q9" s="2093"/>
      <c r="R9" s="2169"/>
      <c r="S9" s="2167"/>
      <c r="T9" s="2164"/>
      <c r="U9" s="280"/>
      <c r="V9" s="1410"/>
      <c r="W9" s="1414"/>
      <c r="X9" s="2094"/>
      <c r="Y9" s="1963"/>
      <c r="Z9" s="2094"/>
      <c r="AA9" s="1963"/>
      <c r="AB9" s="1963"/>
      <c r="AC9" s="2162"/>
      <c r="AD9" s="2039"/>
      <c r="AE9" s="2175"/>
      <c r="AF9" s="1963"/>
      <c r="AG9" s="2162"/>
      <c r="AH9" s="2039"/>
      <c r="AI9" s="2175"/>
      <c r="AJ9" s="1963"/>
      <c r="AK9" s="300"/>
      <c r="AL9" s="413"/>
      <c r="AM9" s="412" t="s">
        <v>471</v>
      </c>
      <c r="AN9" s="1410"/>
      <c r="AO9" s="1513"/>
      <c r="AP9" s="1410"/>
      <c r="AQ9" s="1410"/>
      <c r="AR9" s="1410"/>
      <c r="AS9" s="1410"/>
      <c r="AT9" s="1407"/>
      <c r="AU9" s="2120"/>
      <c r="AW9" s="496"/>
      <c r="AX9" s="496"/>
      <c r="AY9" s="496"/>
      <c r="AZ9" s="496"/>
    </row>
    <row customHeight="1" ht="11.25" hidden="1">
      <c r="A10" s="1380"/>
      <c r="B10" s="1380"/>
      <c r="C10" s="1380"/>
      <c r="D10" s="1380"/>
      <c r="E10" s="2090"/>
      <c r="F10" s="2090"/>
      <c r="G10" s="2090"/>
      <c r="H10" s="2090"/>
      <c r="I10" s="2092"/>
      <c r="J10" s="2092"/>
      <c r="K10" s="2091"/>
      <c r="L10" s="1381"/>
      <c r="P10" s="2093"/>
      <c r="Q10" s="2093"/>
      <c r="R10" s="2169"/>
      <c r="S10" s="2167"/>
      <c r="T10" s="2164"/>
      <c r="U10" s="280"/>
      <c r="V10" s="1410"/>
      <c r="W10" s="1414"/>
      <c r="X10" s="2094"/>
      <c r="Y10" s="1963"/>
      <c r="Z10" s="2094"/>
      <c r="AA10" s="1963"/>
      <c r="AB10" s="1963"/>
      <c r="AC10" s="2162"/>
      <c r="AD10" s="2039"/>
      <c r="AE10" s="2175"/>
      <c r="AF10" s="1963"/>
      <c r="AG10" s="274"/>
      <c r="AH10" s="412"/>
      <c r="AI10" s="412" t="s">
        <v>472</v>
      </c>
      <c r="AJ10" s="1410"/>
      <c r="AK10" s="1410"/>
      <c r="AL10" s="1410"/>
      <c r="AM10" s="1410"/>
      <c r="AN10" s="1410"/>
      <c r="AO10" s="1513"/>
      <c r="AP10" s="1410"/>
      <c r="AQ10" s="1410"/>
      <c r="AR10" s="1410"/>
      <c r="AS10" s="1410"/>
      <c r="AT10" s="1407"/>
      <c r="AU10" s="2120"/>
      <c r="AW10" s="496"/>
      <c r="AX10" s="496"/>
      <c r="AY10" s="496"/>
      <c r="AZ10" s="496"/>
    </row>
    <row customHeight="1" ht="11.25" hidden="1">
      <c r="A11" s="1380"/>
      <c r="B11" s="1380"/>
      <c r="C11" s="1380"/>
      <c r="D11" s="1380"/>
      <c r="E11" s="2090"/>
      <c r="F11" s="2090"/>
      <c r="G11" s="2090"/>
      <c r="H11" s="2090"/>
      <c r="I11" s="2092"/>
      <c r="J11" s="2092"/>
      <c r="K11" s="2091"/>
      <c r="L11" s="1381"/>
      <c r="P11" s="2093"/>
      <c r="Q11" s="2093"/>
      <c r="R11" s="2169"/>
      <c r="S11" s="2168"/>
      <c r="T11" s="2165"/>
      <c r="U11" s="280"/>
      <c r="V11" s="1410"/>
      <c r="W11" s="1413" t="str">
        <f>X8&amp;"-"&amp;Z8</f>
        <v>-</v>
      </c>
      <c r="X11" s="2095"/>
      <c r="Y11" s="1963"/>
      <c r="Z11" s="2095"/>
      <c r="AA11" s="1963"/>
      <c r="AB11" s="1963"/>
      <c r="AC11" s="294"/>
      <c r="AD11" s="296"/>
      <c r="AE11" s="412" t="s">
        <v>473</v>
      </c>
      <c r="AF11" s="1410"/>
      <c r="AG11" s="1410"/>
      <c r="AH11" s="1410"/>
      <c r="AI11" s="1410"/>
      <c r="AJ11" s="1410"/>
      <c r="AK11" s="1410"/>
      <c r="AL11" s="1410"/>
      <c r="AM11" s="1410"/>
      <c r="AN11" s="1410"/>
      <c r="AO11" s="1411" t="str">
        <f>AP8&amp;"-"&amp;AR8</f>
        <v>-</v>
      </c>
      <c r="AP11" s="1410"/>
      <c r="AQ11" s="1410"/>
      <c r="AR11" s="1410"/>
      <c r="AS11" s="1410"/>
      <c r="AT11" s="1366"/>
      <c r="AU11" s="2120"/>
      <c r="AW11" s="496"/>
      <c r="AX11" s="496" t="str">
        <f>IF(T11="","",T11)</f>
        <v/>
      </c>
      <c r="AY11" s="496"/>
      <c r="AZ11" s="496"/>
    </row>
    <row customHeight="1" ht="11.25" hidden="1">
      <c r="A12" s="1380"/>
      <c r="B12" s="1380"/>
      <c r="C12" s="1380"/>
      <c r="D12" s="1380"/>
      <c r="E12" s="2090"/>
      <c r="F12" s="2090"/>
      <c r="G12" s="2090"/>
      <c r="H12" s="2090"/>
      <c r="I12" s="2092"/>
      <c r="J12" s="2091"/>
      <c r="K12" s="1380"/>
      <c r="L12" s="1381"/>
      <c r="P12" s="2093"/>
      <c r="Q12" s="2093"/>
      <c r="R12" s="344"/>
      <c r="S12" s="1295"/>
      <c r="T12" s="268" t="s">
        <v>474</v>
      </c>
      <c r="U12" s="359"/>
      <c r="V12" s="359"/>
      <c r="W12" s="359"/>
      <c r="X12" s="359"/>
      <c r="Y12" s="359"/>
      <c r="Z12" s="359"/>
      <c r="AA12" s="359"/>
      <c r="AB12" s="359"/>
      <c r="AC12" s="359"/>
      <c r="AD12" s="359"/>
      <c r="AE12" s="359"/>
      <c r="AF12" s="359"/>
      <c r="AG12" s="359"/>
      <c r="AH12" s="359"/>
      <c r="AI12" s="359"/>
      <c r="AJ12" s="359"/>
      <c r="AK12" s="359"/>
      <c r="AL12" s="359"/>
      <c r="AM12" s="359"/>
      <c r="AN12" s="359"/>
      <c r="AO12" s="359"/>
      <c r="AP12" s="359"/>
      <c r="AQ12" s="359"/>
      <c r="AR12" s="359"/>
      <c r="AS12" s="359"/>
      <c r="AT12" s="311"/>
      <c r="AU12" s="2121"/>
      <c r="AW12" s="496"/>
      <c r="AX12" s="496" t="str">
        <f>IF(T12="","",T12)</f>
        <v>Добавить строку</v>
      </c>
      <c r="AY12" s="496"/>
      <c r="AZ12" s="496"/>
    </row>
    <row s="1667" customFormat="1" customHeight="1" ht="14.25" hidden="1">
      <c r="A13" s="1360"/>
      <c r="B13" s="1360"/>
      <c r="C13" s="1360"/>
      <c r="D13" s="1360"/>
      <c r="E13" s="2090"/>
      <c r="F13" s="2090"/>
      <c r="G13" s="2090"/>
      <c r="H13" s="2090"/>
      <c r="I13" s="2091"/>
      <c r="J13" s="1360"/>
      <c r="K13" s="1360"/>
      <c r="L13" s="1363"/>
      <c r="M13" s="506"/>
      <c r="N13" s="506"/>
      <c r="O13" s="506"/>
      <c r="P13" s="2093"/>
      <c r="Q13" s="1348"/>
      <c r="R13" s="344"/>
      <c r="S13" s="1403"/>
      <c r="T13" s="1404"/>
      <c r="U13" s="1405"/>
      <c r="V13" s="1405"/>
      <c r="W13" s="1405"/>
      <c r="X13" s="1405"/>
      <c r="Y13" s="1405"/>
      <c r="Z13" s="1405"/>
      <c r="AA13" s="1405"/>
      <c r="AB13" s="1405"/>
      <c r="AC13" s="1405"/>
      <c r="AD13" s="1405"/>
      <c r="AE13" s="1405"/>
      <c r="AF13" s="1405"/>
      <c r="AG13" s="1405"/>
      <c r="AH13" s="1405"/>
      <c r="AI13" s="1405"/>
      <c r="AJ13" s="1405"/>
      <c r="AK13" s="1405"/>
      <c r="AL13" s="1405"/>
      <c r="AM13" s="1405"/>
      <c r="AN13" s="1405"/>
      <c r="AO13" s="1405"/>
      <c r="AP13" s="1405"/>
      <c r="AQ13" s="1405"/>
      <c r="AR13" s="1405"/>
      <c r="AS13" s="1405"/>
      <c r="AT13" s="1405"/>
      <c r="AU13" s="1406"/>
      <c r="AW13" s="496"/>
      <c r="AX13" s="496" t="str">
        <f>IF(T13="","",T13)</f>
        <v/>
      </c>
      <c r="AY13" s="496"/>
      <c r="AZ13" s="496"/>
    </row>
    <row s="1667" customFormat="1" customHeight="1" ht="14.25" hidden="1">
      <c r="A14" s="1360"/>
      <c r="B14" s="1360"/>
      <c r="C14" s="1360"/>
      <c r="D14" s="1360"/>
      <c r="E14" s="2090"/>
      <c r="F14" s="2090"/>
      <c r="G14" s="2090"/>
      <c r="H14" s="2089"/>
      <c r="I14" s="1360"/>
      <c r="J14" s="1360"/>
      <c r="K14" s="1360"/>
      <c r="L14" s="1363"/>
      <c r="M14" s="1332"/>
      <c r="N14" s="1332"/>
      <c r="O14" s="514"/>
      <c r="P14" s="376"/>
      <c r="Q14" s="1361"/>
      <c r="R14" s="1418"/>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6"/>
      <c r="AW14" s="496"/>
      <c r="AX14" s="496" t="str">
        <f>IF(T14="","",T14)</f>
        <v/>
      </c>
      <c r="AY14" s="496"/>
      <c r="AZ14" s="496"/>
    </row>
    <row s="1667" customFormat="1" customHeight="1" ht="14.25" hidden="1">
      <c r="A15" s="1360"/>
      <c r="B15" s="1360"/>
      <c r="C15" s="1360"/>
      <c r="D15" s="1331"/>
      <c r="E15" s="2090"/>
      <c r="F15" s="2090"/>
      <c r="G15" s="2089"/>
      <c r="H15" s="1331"/>
      <c r="I15" s="1331"/>
      <c r="J15" s="1331"/>
      <c r="K15" s="1331"/>
      <c r="L15" s="1356"/>
      <c r="M15" s="1332"/>
      <c r="N15" s="1332"/>
      <c r="P15" s="1333"/>
      <c r="Q15" s="1334"/>
      <c r="R15" s="1333"/>
      <c r="S15" s="1339"/>
      <c r="T15" s="1342" t="s">
        <v>166</v>
      </c>
      <c r="U15" s="1341"/>
      <c r="V15" s="1341"/>
      <c r="W15" s="1341"/>
      <c r="X15" s="1341"/>
      <c r="Y15" s="1341"/>
      <c r="Z15" s="1341"/>
      <c r="AA15" s="1341"/>
      <c r="AB15" s="1341"/>
      <c r="AC15" s="1341"/>
      <c r="AD15" s="1341"/>
      <c r="AE15" s="1341"/>
      <c r="AF15" s="1341"/>
      <c r="AG15" s="1341"/>
      <c r="AH15" s="1341"/>
      <c r="AI15" s="1341"/>
      <c r="AJ15" s="1341"/>
      <c r="AK15" s="1341"/>
      <c r="AL15" s="1341"/>
      <c r="AM15" s="1341"/>
      <c r="AN15" s="1341"/>
      <c r="AO15" s="1341"/>
      <c r="AP15" s="1341"/>
      <c r="AQ15" s="1341"/>
      <c r="AR15" s="1341"/>
      <c r="AS15" s="1341"/>
      <c r="AT15" s="1341"/>
      <c r="AU15" s="1341"/>
      <c r="AW15" s="783"/>
      <c r="AX15" s="783" t="str">
        <f>IF(T15="","",T15)</f>
        <v>Добавить источник для дифференциации</v>
      </c>
      <c r="AY15" s="783"/>
      <c r="AZ15" s="783"/>
    </row>
    <row s="1667" customFormat="1" customHeight="1" ht="14.25" hidden="1">
      <c r="A16" s="1360"/>
      <c r="B16" s="1360"/>
      <c r="C16" s="1331"/>
      <c r="D16" s="1331"/>
      <c r="E16" s="2090"/>
      <c r="F16" s="2089"/>
      <c r="G16" s="1331"/>
      <c r="H16" s="1331"/>
      <c r="I16" s="1331"/>
      <c r="J16" s="1331"/>
      <c r="K16" s="1331"/>
      <c r="L16" s="1356"/>
      <c r="M16" s="1338"/>
      <c r="N16" s="1338"/>
      <c r="P16" s="1333"/>
      <c r="Q16" s="1334"/>
      <c r="R16" s="1333"/>
      <c r="S16" s="1339"/>
      <c r="T16" s="1342" t="s">
        <v>167</v>
      </c>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W16" s="783"/>
      <c r="AX16" s="783" t="str">
        <f>IF(T16="","",T16)</f>
        <v>Добавить централизованную систему для дифференциации</v>
      </c>
      <c r="AY16" s="783"/>
      <c r="AZ16" s="783"/>
    </row>
    <row s="1667" customFormat="1" customHeight="1" ht="14.25" hidden="1">
      <c r="A17" s="1360"/>
      <c r="B17" s="1360"/>
      <c r="C17" s="1360"/>
      <c r="D17" s="1360"/>
      <c r="E17" s="2089"/>
      <c r="F17" s="1360"/>
      <c r="G17" s="1360"/>
      <c r="H17" s="1360"/>
      <c r="I17" s="1360"/>
      <c r="J17" s="1360"/>
      <c r="K17" s="1360"/>
      <c r="L17" s="1363"/>
      <c r="M17" s="1338"/>
      <c r="N17" s="1338"/>
      <c r="O17" s="514"/>
      <c r="P17" s="376"/>
      <c r="Q17" s="1361"/>
      <c r="R17" s="376"/>
      <c r="S17" s="1339"/>
      <c r="T17" s="1342" t="s">
        <v>168</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W17" s="496"/>
      <c r="AX17" s="496" t="str">
        <f>IF(T17="","",T17)</f>
        <v>Добавить территорию для дифференциации</v>
      </c>
      <c r="AY17" s="496"/>
      <c r="AZ17" s="496"/>
    </row>
    <row customHeight="1" ht="14.25" hidden="1">
      <c r="AA18" s="315"/>
      <c r="AS18" s="315"/>
    </row>
    <row customHeight="1" ht="14.25" hidden="1">
      <c r="AB19" s="1341" t="s">
        <v>56</v>
      </c>
      <c r="AC19" s="1518"/>
      <c r="AD19" s="544">
        <v>1</v>
      </c>
      <c r="AE19" s="1519"/>
      <c r="AF19" s="1341" t="s">
        <v>56</v>
      </c>
      <c r="AG19" s="1518"/>
      <c r="AH19" s="544">
        <v>1</v>
      </c>
      <c r="AI19" s="1519"/>
      <c r="AJ19" s="1341" t="s">
        <v>56</v>
      </c>
      <c r="AK19" s="1520"/>
      <c r="AL19" s="544">
        <v>1</v>
      </c>
      <c r="AM19" s="1523"/>
      <c r="AN19" s="1420"/>
      <c r="AO19" s="1421"/>
      <c r="AP19" s="1760"/>
      <c r="AQ19" s="1477" t="s">
        <v>66</v>
      </c>
      <c r="AR19" s="1760"/>
      <c r="AS19" s="1477" t="s">
        <v>66</v>
      </c>
    </row>
    <row customHeight="1" ht="14.25" hidden="1">
      <c r="AV20" s="492"/>
      <c r="AW20" s="492"/>
      <c r="AX20" s="492"/>
      <c r="AY20" s="492"/>
      <c r="AZ20" s="492"/>
    </row>
    <row customHeight="1" ht="14.25" hidden="1">
      <c r="O21" s="1384" t="s">
        <v>421</v>
      </c>
      <c r="X21" s="1362"/>
      <c r="Z21" s="1362"/>
      <c r="AA21" s="315"/>
      <c r="AP21" s="1362"/>
      <c r="AR21" s="1362"/>
      <c r="AS21" s="315"/>
      <c r="AV21" s="492"/>
      <c r="AW21" s="492"/>
      <c r="AX21" s="492"/>
      <c r="AY21" s="492"/>
      <c r="AZ21" s="492"/>
    </row>
    <row customHeight="1" ht="14.25" hidden="1">
      <c r="AA22" s="315"/>
      <c r="AS22" s="315"/>
      <c r="AV22" s="492"/>
      <c r="AW22" s="492"/>
      <c r="AX22" s="492"/>
      <c r="AY22" s="492"/>
      <c r="AZ22" s="492"/>
    </row>
    <row s="1526" customFormat="1" customHeight="1" ht="14.25" hidden="1">
      <c r="M23" s="1525"/>
      <c r="N23" s="1525"/>
      <c r="O23" s="1526" t="s">
        <v>422</v>
      </c>
      <c r="P23" s="1525"/>
      <c r="Q23" s="1527"/>
      <c r="R23" s="1527"/>
      <c r="Y23" s="1524" t="s">
        <v>424</v>
      </c>
      <c r="AA23" s="1524" t="s">
        <v>425</v>
      </c>
      <c r="AB23" s="1524" t="s">
        <v>475</v>
      </c>
      <c r="AE23" s="1524" t="s">
        <v>476</v>
      </c>
      <c r="AF23" s="1524" t="s">
        <v>475</v>
      </c>
      <c r="AI23" s="1524" t="s">
        <v>477</v>
      </c>
      <c r="AJ23" s="1524" t="s">
        <v>475</v>
      </c>
      <c r="AM23" s="1524" t="s">
        <v>478</v>
      </c>
      <c r="AQ23" s="1524" t="s">
        <v>424</v>
      </c>
      <c r="AS23" s="1524" t="s">
        <v>425</v>
      </c>
      <c r="AV23" s="1528"/>
      <c r="AW23" s="1528"/>
      <c r="AX23" s="1528"/>
      <c r="AY23" s="1528"/>
      <c r="AZ23" s="1528"/>
    </row>
    <row customHeight="1" ht="14.25" hidden="1">
      <c r="O24" s="1381"/>
      <c r="AV24" s="492"/>
      <c r="AW24" s="492"/>
      <c r="AX24" s="492"/>
      <c r="AY24" s="492"/>
      <c r="AZ24" s="492"/>
    </row>
    <row customHeight="1" ht="14.25" hidden="1">
      <c r="O25" s="1381"/>
      <c r="AV25" s="492"/>
      <c r="AW25" s="492"/>
      <c r="AX25" s="492"/>
      <c r="AY25" s="492"/>
      <c r="AZ25" s="492"/>
    </row>
    <row customHeight="1" ht="14.25">
      <c r="Q26" s="272"/>
      <c r="R26" s="368"/>
      <c r="S26" s="1292"/>
      <c r="T26" s="353"/>
      <c r="U26" s="353"/>
      <c r="V26" s="505"/>
      <c r="W26" s="505"/>
      <c r="X26" s="505"/>
      <c r="Y26" s="505"/>
      <c r="Z26" s="505"/>
      <c r="AA26" s="505"/>
      <c r="AB26" s="505"/>
      <c r="AC26" s="505"/>
      <c r="AD26" s="505"/>
      <c r="AE26" s="505"/>
      <c r="AF26" s="505"/>
      <c r="AG26" s="505"/>
      <c r="AH26" s="505"/>
      <c r="AI26" s="505"/>
      <c r="AJ26" s="505"/>
      <c r="AK26" s="505"/>
      <c r="AL26" s="505"/>
      <c r="AM26" s="505"/>
      <c r="AN26" s="505"/>
      <c r="AO26" s="505"/>
      <c r="AP26" s="505"/>
      <c r="AQ26" s="505"/>
      <c r="AR26" s="505"/>
      <c r="AS26" s="505"/>
    </row>
    <row customHeight="1" ht="26.25">
      <c r="Q27" s="272"/>
      <c r="R27" s="368"/>
      <c r="S27" s="2122"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22"/>
      <c r="U27" s="2122"/>
      <c r="V27" s="2122"/>
      <c r="W27" s="2122"/>
      <c r="X27" s="2122"/>
      <c r="Y27" s="2122"/>
      <c r="Z27" s="2122"/>
      <c r="AA27" s="2122"/>
      <c r="AB27" s="2122"/>
      <c r="AC27" s="2122"/>
      <c r="AD27" s="2122"/>
      <c r="AE27" s="2122"/>
      <c r="AF27" s="2122"/>
      <c r="AG27" s="2122"/>
      <c r="AH27" s="2122"/>
      <c r="AI27" s="2122"/>
      <c r="AJ27" s="2122"/>
      <c r="AK27" s="2122"/>
      <c r="AL27" s="2122"/>
      <c r="AM27" s="2122"/>
      <c r="AN27" s="2122"/>
      <c r="AO27" s="2122"/>
      <c r="AP27" s="2122"/>
      <c r="AQ27" s="2122"/>
      <c r="AR27" s="2122"/>
      <c r="AS27" s="1248"/>
    </row>
    <row customHeight="1" ht="14.25">
      <c r="Q28" s="272"/>
      <c r="R28" s="368"/>
      <c r="S28" s="2123" t="str">
        <f>IF(org=0,"Не определено",org)</f>
        <v>ООО "ПРОМ ИМПУЛЬС"</v>
      </c>
      <c r="T28" s="2123"/>
      <c r="U28" s="2123"/>
      <c r="V28" s="2123"/>
      <c r="W28" s="2123"/>
      <c r="X28" s="2123"/>
      <c r="Y28" s="2123"/>
      <c r="Z28" s="2123"/>
      <c r="AA28" s="2123"/>
      <c r="AB28" s="2123"/>
      <c r="AC28" s="2123"/>
      <c r="AD28" s="2123"/>
      <c r="AE28" s="2123"/>
      <c r="AF28" s="2123"/>
      <c r="AG28" s="2123"/>
      <c r="AH28" s="2123"/>
      <c r="AI28" s="2123"/>
      <c r="AJ28" s="2123"/>
      <c r="AK28" s="2123"/>
      <c r="AL28" s="2123"/>
      <c r="AM28" s="2123"/>
      <c r="AN28" s="2123"/>
      <c r="AO28" s="2123"/>
      <c r="AP28" s="2123"/>
      <c r="AQ28" s="2123"/>
      <c r="AR28" s="2123"/>
      <c r="AS28" s="1248"/>
    </row>
    <row customHeight="1" ht="14.25">
      <c r="Q29" s="272"/>
      <c r="R29" s="368"/>
      <c r="S29" s="1292"/>
      <c r="T29" s="353"/>
      <c r="U29" s="353"/>
      <c r="V29" s="308"/>
      <c r="W29" s="308"/>
      <c r="X29" s="308"/>
      <c r="Y29" s="308"/>
      <c r="Z29" s="308"/>
      <c r="AA29" s="308"/>
      <c r="AB29" s="308"/>
      <c r="AC29" s="308"/>
      <c r="AD29" s="308"/>
      <c r="AE29" s="308"/>
      <c r="AF29" s="308"/>
      <c r="AG29" s="308"/>
      <c r="AH29" s="308"/>
      <c r="AI29" s="308"/>
      <c r="AJ29" s="308"/>
      <c r="AK29" s="308"/>
      <c r="AL29" s="308"/>
      <c r="AM29" s="308"/>
      <c r="AN29" s="308"/>
      <c r="AO29" s="308"/>
      <c r="AP29" s="308"/>
      <c r="AQ29" s="308"/>
      <c r="AR29" s="308"/>
      <c r="AS29" s="308"/>
      <c r="AT29" s="505"/>
    </row>
    <row s="1877" customFormat="1" customHeight="1" ht="25.5">
      <c r="A30" s="1385"/>
      <c r="B30" s="1385"/>
      <c r="C30" s="1385"/>
      <c r="D30" s="1385"/>
      <c r="E30" s="1385"/>
      <c r="F30" s="1385"/>
      <c r="G30" s="1385"/>
      <c r="H30" s="1385"/>
      <c r="I30" s="1385"/>
      <c r="J30" s="1385"/>
      <c r="K30" s="1385"/>
      <c r="L30" s="1386"/>
      <c r="M30" s="1385"/>
      <c r="N30" s="1385"/>
      <c r="O30" s="1385"/>
      <c r="P30" s="1385"/>
      <c r="Q30" s="1385"/>
      <c r="S30" s="2080" t="s">
        <v>38</v>
      </c>
      <c r="T30" s="2080"/>
      <c r="U30" s="1389"/>
      <c r="V30" s="2082" t="str">
        <f>IF(TITLE_NAME_OR_PR_CHANGE="",IF(TITLE_NAME_OR_PR="","",TITLE_NAME_OR_PR),TITLE_NAME_OR_PR_CHANGE)</f>
        <v>Комитет по тарифам Санкт-Петербурга</v>
      </c>
      <c r="W30" s="2082"/>
      <c r="X30" s="2082"/>
      <c r="Y30" s="2082"/>
      <c r="Z30" s="2082"/>
      <c r="AA30" s="314"/>
      <c r="AB30" s="2082" t="str">
        <f>IF(TITLE_NAME_OR_PR_CHANGE="",IF(TITLE_NAME_OR_PR="","",TITLE_NAME_OR_PR),TITLE_NAME_OR_PR_CHANGE)</f>
        <v>Комитет по тарифам Санкт-Петербурга</v>
      </c>
      <c r="AC30" s="2082"/>
      <c r="AD30" s="2082"/>
      <c r="AE30" s="2082"/>
      <c r="AF30" s="2082"/>
      <c r="AG30" s="2082"/>
      <c r="AH30" s="2082"/>
      <c r="AI30" s="2082"/>
      <c r="AJ30" s="2082"/>
      <c r="AK30" s="2082"/>
      <c r="AL30" s="2082"/>
      <c r="AM30" s="2082"/>
      <c r="AN30" s="2082"/>
      <c r="AO30" s="2082"/>
      <c r="AP30" s="2082"/>
      <c r="AQ30" s="2082"/>
      <c r="AR30" s="2082"/>
      <c r="AS30" s="314"/>
      <c r="AT30" s="314"/>
      <c r="AU30" s="261"/>
      <c r="AV30" s="360"/>
      <c r="AW30" s="360"/>
      <c r="AX30" s="360"/>
      <c r="AY30" s="360"/>
      <c r="AZ30" s="360"/>
    </row>
    <row s="1877" customFormat="1" customHeight="1" ht="18.75">
      <c r="A31" s="1385"/>
      <c r="B31" s="1385"/>
      <c r="C31" s="1385"/>
      <c r="D31" s="1385"/>
      <c r="E31" s="1385"/>
      <c r="F31" s="1385"/>
      <c r="G31" s="1385"/>
      <c r="H31" s="1385"/>
      <c r="I31" s="1385"/>
      <c r="J31" s="1385"/>
      <c r="K31" s="1385"/>
      <c r="L31" s="1386"/>
      <c r="M31" s="1385"/>
      <c r="N31" s="1385"/>
      <c r="O31" s="1385"/>
      <c r="P31" s="1385"/>
      <c r="Q31" s="1385"/>
      <c r="S31" s="2080" t="s">
        <v>427</v>
      </c>
      <c r="T31" s="2080"/>
      <c r="U31" s="1389"/>
      <c r="V31" s="2081" t="str">
        <f>IF(TITLE_DATE_PR_CHANGE="",IF(TITLE_DATE_PR="","",TITLE_DATE_PR),TITLE_DATE_PR_CHANGE)</f>
        <v>45268.58207175926</v>
      </c>
      <c r="W31" s="2081"/>
      <c r="X31" s="2081"/>
      <c r="Y31" s="2081"/>
      <c r="Z31" s="2081"/>
      <c r="AA31" s="314"/>
      <c r="AB31" s="2081" t="str">
        <f>IF(TITLE_DATE_PR_CHANGE="",IF(TITLE_DATE_PR="","",TITLE_DATE_PR),TITLE_DATE_PR_CHANGE)</f>
        <v>45268.58207175926</v>
      </c>
      <c r="AC31" s="2081"/>
      <c r="AD31" s="2081"/>
      <c r="AE31" s="2081"/>
      <c r="AF31" s="2081"/>
      <c r="AG31" s="2081"/>
      <c r="AH31" s="2081"/>
      <c r="AI31" s="2081"/>
      <c r="AJ31" s="2081"/>
      <c r="AK31" s="2081"/>
      <c r="AL31" s="2081"/>
      <c r="AM31" s="2081"/>
      <c r="AN31" s="2081"/>
      <c r="AO31" s="2081"/>
      <c r="AP31" s="2081"/>
      <c r="AQ31" s="2081"/>
      <c r="AR31" s="2081"/>
      <c r="AS31" s="314"/>
      <c r="AT31" s="314"/>
      <c r="AU31" s="261"/>
      <c r="AV31" s="360"/>
      <c r="AW31" s="360"/>
      <c r="AX31" s="360"/>
      <c r="AY31" s="360"/>
      <c r="AZ31" s="360"/>
    </row>
    <row s="1877" customFormat="1" customHeight="1" ht="18.75">
      <c r="A32" s="1385"/>
      <c r="B32" s="1385"/>
      <c r="C32" s="1385"/>
      <c r="D32" s="1385"/>
      <c r="E32" s="1385"/>
      <c r="F32" s="1385"/>
      <c r="G32" s="1385"/>
      <c r="H32" s="1385"/>
      <c r="I32" s="1385"/>
      <c r="J32" s="1385"/>
      <c r="K32" s="1385"/>
      <c r="L32" s="1386"/>
      <c r="M32" s="1385"/>
      <c r="N32" s="1385"/>
      <c r="O32" s="1385"/>
      <c r="P32" s="1385"/>
      <c r="Q32" s="1385"/>
      <c r="S32" s="2080" t="s">
        <v>428</v>
      </c>
      <c r="T32" s="2080"/>
      <c r="U32" s="1389"/>
      <c r="V32" s="2082" t="str">
        <f>IF(TITLE_NUMBER_PR_CHANGE="",IF(TITLE_NUMBER_PR="","",TITLE_NUMBER_PR),TITLE_NUMBER_PR_CHANGE)</f>
        <v>237-р</v>
      </c>
      <c r="W32" s="2082"/>
      <c r="X32" s="2082"/>
      <c r="Y32" s="2082"/>
      <c r="Z32" s="2082"/>
      <c r="AA32" s="314"/>
      <c r="AB32" s="2082" t="str">
        <f>IF(TITLE_NUMBER_PR_CHANGE="",IF(TITLE_NUMBER_PR="","",TITLE_NUMBER_PR),TITLE_NUMBER_PR_CHANGE)</f>
        <v>237-р</v>
      </c>
      <c r="AC32" s="2082"/>
      <c r="AD32" s="2082"/>
      <c r="AE32" s="2082"/>
      <c r="AF32" s="2082"/>
      <c r="AG32" s="2082"/>
      <c r="AH32" s="2082"/>
      <c r="AI32" s="2082"/>
      <c r="AJ32" s="2082"/>
      <c r="AK32" s="2082"/>
      <c r="AL32" s="2082"/>
      <c r="AM32" s="2082"/>
      <c r="AN32" s="2082"/>
      <c r="AO32" s="2082"/>
      <c r="AP32" s="2082"/>
      <c r="AQ32" s="2082"/>
      <c r="AR32" s="2082"/>
      <c r="AS32" s="314"/>
      <c r="AT32" s="314"/>
      <c r="AU32" s="261"/>
      <c r="AV32" s="360"/>
      <c r="AW32" s="360"/>
      <c r="AX32" s="360"/>
      <c r="AY32" s="360"/>
      <c r="AZ32" s="360"/>
    </row>
    <row s="1877" customFormat="1" customHeight="1" ht="18.75">
      <c r="A33" s="1385"/>
      <c r="B33" s="1385"/>
      <c r="C33" s="1385"/>
      <c r="D33" s="1385"/>
      <c r="E33" s="1385"/>
      <c r="F33" s="1385"/>
      <c r="G33" s="1385"/>
      <c r="H33" s="1385"/>
      <c r="I33" s="1385"/>
      <c r="J33" s="1385"/>
      <c r="K33" s="1385"/>
      <c r="L33" s="1386"/>
      <c r="M33" s="1385"/>
      <c r="N33" s="1385"/>
      <c r="O33" s="1385"/>
      <c r="P33" s="1385"/>
      <c r="Q33" s="1385"/>
      <c r="S33" s="2080" t="s">
        <v>40</v>
      </c>
      <c r="T33" s="2080"/>
      <c r="U33" s="1389"/>
      <c r="V33" s="2082" t="str">
        <f>IF(TITLE_IST_PUB_CHANGE="",IF(TITLE_IST_PUB="","",TITLE_IST_PUB),TITLE_IST_PUB_CHANGE)</f>
        <v>https://www.gov.spb.ru/gov/otrasl/energ_kom/inform_/standarty-raskrytiya-informacii-komitetom/teplo/</v>
      </c>
      <c r="W33" s="2082"/>
      <c r="X33" s="2082"/>
      <c r="Y33" s="2082"/>
      <c r="Z33" s="2082"/>
      <c r="AA33" s="314"/>
      <c r="AB33" s="2082" t="str">
        <f>IF(TITLE_IST_PUB_CHANGE="",IF(TITLE_IST_PUB="","",TITLE_IST_PUB),TITLE_IST_PUB_CHANGE)</f>
        <v>https://www.gov.spb.ru/gov/otrasl/energ_kom/inform_/standarty-raskrytiya-informacii-komitetom/teplo/</v>
      </c>
      <c r="AC33" s="2082"/>
      <c r="AD33" s="2082"/>
      <c r="AE33" s="2082"/>
      <c r="AF33" s="2082"/>
      <c r="AG33" s="2082"/>
      <c r="AH33" s="2082"/>
      <c r="AI33" s="2082"/>
      <c r="AJ33" s="2082"/>
      <c r="AK33" s="2082"/>
      <c r="AL33" s="2082"/>
      <c r="AM33" s="2082"/>
      <c r="AN33" s="2082"/>
      <c r="AO33" s="2082"/>
      <c r="AP33" s="2082"/>
      <c r="AQ33" s="2082"/>
      <c r="AR33" s="2082"/>
      <c r="AS33" s="314"/>
      <c r="AT33" s="314"/>
      <c r="AU33" s="261"/>
      <c r="AV33" s="360"/>
      <c r="AW33" s="360"/>
      <c r="AX33" s="360"/>
      <c r="AY33" s="360"/>
      <c r="AZ33" s="360"/>
    </row>
    <row customHeight="1" ht="14.25" hidden="1">
      <c r="Q34" s="272"/>
      <c r="R34" s="368"/>
      <c r="S34" s="1292"/>
      <c r="T34" s="353"/>
      <c r="U34" s="353"/>
      <c r="V34" s="308"/>
      <c r="W34" s="308"/>
      <c r="X34" s="308"/>
      <c r="Y34" s="308"/>
      <c r="Z34" s="308"/>
      <c r="AA34" s="308"/>
      <c r="AB34" s="308"/>
      <c r="AC34" s="308"/>
      <c r="AD34" s="308"/>
      <c r="AE34" s="308"/>
      <c r="AF34" s="308"/>
      <c r="AG34" s="308"/>
      <c r="AH34" s="308"/>
      <c r="AI34" s="308"/>
      <c r="AJ34" s="308"/>
      <c r="AK34" s="308"/>
      <c r="AL34" s="308"/>
      <c r="AM34" s="308"/>
      <c r="AN34" s="308"/>
      <c r="AO34" s="308"/>
      <c r="AP34" s="308"/>
      <c r="AQ34" s="308"/>
      <c r="AR34" s="308"/>
      <c r="AS34" s="308"/>
      <c r="AT34" s="505"/>
    </row>
    <row s="1877" customFormat="1" customHeight="1" ht="18.75" hidden="1">
      <c r="A35" s="1385"/>
      <c r="B35" s="1385"/>
      <c r="C35" s="1385"/>
      <c r="D35" s="1385"/>
      <c r="E35" s="1385"/>
      <c r="F35" s="1385"/>
      <c r="G35" s="1385"/>
      <c r="H35" s="1385"/>
      <c r="I35" s="1385"/>
      <c r="J35" s="1385"/>
      <c r="K35" s="1385"/>
      <c r="L35" s="1386"/>
      <c r="M35" s="1385"/>
      <c r="N35" s="1385"/>
      <c r="O35" s="1385"/>
      <c r="P35" s="1385"/>
      <c r="Q35" s="1385"/>
      <c r="S35" s="2080" t="s">
        <v>427</v>
      </c>
      <c r="T35" s="2080"/>
      <c r="U35" s="1389"/>
      <c r="V35" s="2081" t="str">
        <f>IF(TITLE_DATE_PR_CHANGE="",IF(TITLE_DATE_PR="","",TITLE_DATE_PR),TITLE_DATE_PR_CHANGE)</f>
        <v>45268.58207175926</v>
      </c>
      <c r="W35" s="2081"/>
      <c r="X35" s="2081"/>
      <c r="Y35" s="2081"/>
      <c r="Z35" s="2081"/>
      <c r="AA35" s="314"/>
      <c r="AB35" s="2081" t="str">
        <f>IF(TITLE_DATE_PR_CHANGE="",IF(TITLE_DATE_PR="","",TITLE_DATE_PR),TITLE_DATE_PR_CHANGE)</f>
        <v>45268.58207175926</v>
      </c>
      <c r="AC35" s="2081"/>
      <c r="AD35" s="2081"/>
      <c r="AE35" s="2081"/>
      <c r="AF35" s="2081"/>
      <c r="AG35" s="2081"/>
      <c r="AH35" s="2081"/>
      <c r="AI35" s="2081"/>
      <c r="AJ35" s="2081"/>
      <c r="AK35" s="2081"/>
      <c r="AL35" s="2081"/>
      <c r="AM35" s="2081"/>
      <c r="AN35" s="2081"/>
      <c r="AO35" s="2081"/>
      <c r="AP35" s="2081"/>
      <c r="AQ35" s="2081"/>
      <c r="AR35" s="2081"/>
      <c r="AS35" s="314"/>
      <c r="AT35" s="314"/>
      <c r="AU35" s="261"/>
      <c r="AV35" s="360"/>
      <c r="AW35" s="360"/>
      <c r="AX35" s="360"/>
      <c r="AY35" s="360"/>
      <c r="AZ35" s="360"/>
    </row>
    <row s="1877" customFormat="1" customHeight="1" ht="18" hidden="1">
      <c r="A36" s="1385"/>
      <c r="B36" s="1385"/>
      <c r="C36" s="1385"/>
      <c r="D36" s="1385"/>
      <c r="E36" s="1385"/>
      <c r="F36" s="1385"/>
      <c r="G36" s="1385"/>
      <c r="H36" s="1385"/>
      <c r="I36" s="1385"/>
      <c r="J36" s="1385"/>
      <c r="K36" s="1385"/>
      <c r="L36" s="1386"/>
      <c r="M36" s="1385"/>
      <c r="N36" s="1385"/>
      <c r="O36" s="1385"/>
      <c r="P36" s="1385"/>
      <c r="Q36" s="1385"/>
      <c r="S36" s="2080" t="s">
        <v>428</v>
      </c>
      <c r="T36" s="2080"/>
      <c r="U36" s="1389"/>
      <c r="V36" s="2082" t="str">
        <f>IF(TITLE_NUMBER_PR_CHANGE="",IF(TITLE_NUMBER_PR="","",TITLE_NUMBER_PR),TITLE_NUMBER_PR_CHANGE)</f>
        <v>237-р</v>
      </c>
      <c r="W36" s="2082"/>
      <c r="X36" s="2082"/>
      <c r="Y36" s="2082"/>
      <c r="Z36" s="2082"/>
      <c r="AA36" s="314"/>
      <c r="AB36" s="2082" t="str">
        <f>IF(TITLE_NUMBER_PR_CHANGE="",IF(TITLE_NUMBER_PR="","",TITLE_NUMBER_PR),TITLE_NUMBER_PR_CHANGE)</f>
        <v>237-р</v>
      </c>
      <c r="AC36" s="2082"/>
      <c r="AD36" s="2082"/>
      <c r="AE36" s="2082"/>
      <c r="AF36" s="2082"/>
      <c r="AG36" s="2082"/>
      <c r="AH36" s="2082"/>
      <c r="AI36" s="2082"/>
      <c r="AJ36" s="2082"/>
      <c r="AK36" s="2082"/>
      <c r="AL36" s="2082"/>
      <c r="AM36" s="2082"/>
      <c r="AN36" s="2082"/>
      <c r="AO36" s="2082"/>
      <c r="AP36" s="2082"/>
      <c r="AQ36" s="2082"/>
      <c r="AR36" s="2082"/>
      <c r="AS36" s="314"/>
      <c r="AT36" s="314"/>
      <c r="AU36" s="261"/>
      <c r="AV36" s="360"/>
      <c r="AW36" s="360"/>
      <c r="AX36" s="360"/>
      <c r="AY36" s="360"/>
      <c r="AZ36" s="360"/>
    </row>
    <row s="1877" customFormat="1" customHeight="1" ht="0.75">
      <c r="A37" s="1385"/>
      <c r="B37" s="1385"/>
      <c r="C37" s="1385"/>
      <c r="D37" s="1385"/>
      <c r="E37" s="1385"/>
      <c r="F37" s="1385"/>
      <c r="G37" s="1385"/>
      <c r="H37" s="1385"/>
      <c r="I37" s="1385"/>
      <c r="J37" s="1385"/>
      <c r="K37" s="1385"/>
      <c r="L37" s="1386"/>
      <c r="M37" s="1385"/>
      <c r="N37" s="1385"/>
      <c r="O37" s="1385"/>
      <c r="P37" s="1385"/>
      <c r="Q37" s="1385"/>
      <c r="S37" s="310"/>
      <c r="T37" s="310"/>
      <c r="U37" s="1357"/>
      <c r="V37" s="314"/>
      <c r="W37" s="314"/>
      <c r="X37" s="314"/>
      <c r="Y37" s="314"/>
      <c r="Z37" s="314"/>
      <c r="AA37" s="259" t="s">
        <v>431</v>
      </c>
      <c r="AB37" s="314"/>
      <c r="AC37" s="314"/>
      <c r="AD37" s="314"/>
      <c r="AE37" s="314"/>
      <c r="AF37" s="314"/>
      <c r="AG37" s="314"/>
      <c r="AH37" s="314"/>
      <c r="AI37" s="314"/>
      <c r="AJ37" s="314"/>
      <c r="AK37" s="314"/>
      <c r="AL37" s="314"/>
      <c r="AM37" s="314"/>
      <c r="AN37" s="314"/>
      <c r="AO37" s="314"/>
      <c r="AP37" s="314"/>
      <c r="AQ37" s="314"/>
      <c r="AR37" s="314"/>
      <c r="AS37" s="259" t="s">
        <v>431</v>
      </c>
      <c r="AV37" s="360"/>
      <c r="AW37" s="360"/>
      <c r="AX37" s="360"/>
      <c r="AY37" s="360"/>
      <c r="AZ37" s="360"/>
    </row>
    <row customHeight="1" ht="14.25">
      <c r="Q38" s="272"/>
      <c r="R38" s="368"/>
      <c r="S38" s="1292"/>
      <c r="T38" s="353"/>
      <c r="U38" s="1249"/>
      <c r="V38" s="2106"/>
      <c r="W38" s="2106"/>
      <c r="X38" s="2106"/>
      <c r="Y38" s="2106"/>
      <c r="Z38" s="2106"/>
      <c r="AA38" s="2106"/>
      <c r="AB38" s="2106"/>
      <c r="AC38" s="2106"/>
      <c r="AD38" s="2106"/>
      <c r="AE38" s="2106"/>
      <c r="AF38" s="2106"/>
      <c r="AG38" s="2106"/>
      <c r="AH38" s="2106"/>
      <c r="AI38" s="2106"/>
      <c r="AJ38" s="2106"/>
      <c r="AK38" s="2106"/>
      <c r="AL38" s="2106"/>
      <c r="AM38" s="2106"/>
      <c r="AN38" s="2106"/>
      <c r="AO38" s="2106"/>
      <c r="AP38" s="2106"/>
      <c r="AQ38" s="2106"/>
      <c r="AR38" s="2106"/>
      <c r="AS38" s="2106"/>
    </row>
    <row customHeight="1" ht="14.25">
      <c r="Q39" s="272"/>
      <c r="R39" s="368"/>
      <c r="S39" s="1953" t="s">
        <v>305</v>
      </c>
      <c r="T39" s="1953"/>
      <c r="U39" s="1953"/>
      <c r="V39" s="1953"/>
      <c r="W39" s="1953"/>
      <c r="X39" s="1953"/>
      <c r="Y39" s="1953"/>
      <c r="Z39" s="1953"/>
      <c r="AA39" s="1953"/>
      <c r="AB39" s="2010"/>
      <c r="AC39" s="2010"/>
      <c r="AD39" s="2010"/>
      <c r="AE39" s="2010"/>
      <c r="AF39" s="1953"/>
      <c r="AG39" s="1953"/>
      <c r="AH39" s="1953"/>
      <c r="AI39" s="1953"/>
      <c r="AJ39" s="1953"/>
      <c r="AK39" s="1953"/>
      <c r="AL39" s="1953"/>
      <c r="AM39" s="1953"/>
      <c r="AN39" s="1953"/>
      <c r="AO39" s="1953"/>
      <c r="AP39" s="1953"/>
      <c r="AQ39" s="1953"/>
      <c r="AR39" s="1953"/>
      <c r="AS39" s="1953"/>
      <c r="AT39" s="1953"/>
      <c r="AU39" s="1953" t="s">
        <v>306</v>
      </c>
    </row>
    <row customHeight="1" ht="14.25">
      <c r="Q40" s="272"/>
      <c r="R40" s="368"/>
      <c r="S40" s="2107" t="s">
        <v>87</v>
      </c>
      <c r="T40" s="2044" t="s">
        <v>479</v>
      </c>
      <c r="U40" s="281"/>
      <c r="V40" s="2109"/>
      <c r="W40" s="2109"/>
      <c r="X40" s="2109"/>
      <c r="Y40" s="2109"/>
      <c r="Z40" s="2110"/>
      <c r="AA40" s="2171" t="s">
        <v>434</v>
      </c>
      <c r="AB40" s="2155" t="s">
        <v>480</v>
      </c>
      <c r="AC40" s="2128"/>
      <c r="AD40" s="2128"/>
      <c r="AE40" s="2156"/>
      <c r="AF40" s="2128" t="s">
        <v>481</v>
      </c>
      <c r="AG40" s="2128"/>
      <c r="AH40" s="2128"/>
      <c r="AI40" s="2156"/>
      <c r="AJ40" s="2155" t="s">
        <v>482</v>
      </c>
      <c r="AK40" s="2128"/>
      <c r="AL40" s="2128"/>
      <c r="AM40" s="2156"/>
      <c r="AN40" s="2155" t="s">
        <v>433</v>
      </c>
      <c r="AO40" s="2128"/>
      <c r="AP40" s="2109"/>
      <c r="AQ40" s="2109"/>
      <c r="AR40" s="2110"/>
      <c r="AS40" s="2111" t="s">
        <v>434</v>
      </c>
      <c r="AT40" s="2114" t="s">
        <v>436</v>
      </c>
      <c r="AU40" s="1953"/>
    </row>
    <row customHeight="1" ht="33.75">
      <c r="Q41" s="272"/>
      <c r="R41" s="368"/>
      <c r="S41" s="2107"/>
      <c r="T41" s="2044"/>
      <c r="U41" s="1026"/>
      <c r="V41" s="2011" t="s">
        <v>483</v>
      </c>
      <c r="W41" s="2012"/>
      <c r="X41" s="2126" t="s">
        <v>440</v>
      </c>
      <c r="Y41" s="2144"/>
      <c r="Z41" s="2145"/>
      <c r="AA41" s="2172"/>
      <c r="AB41" s="2157"/>
      <c r="AC41" s="2158"/>
      <c r="AD41" s="2158"/>
      <c r="AE41" s="2170"/>
      <c r="AF41" s="2158"/>
      <c r="AG41" s="2158"/>
      <c r="AH41" s="2158"/>
      <c r="AI41" s="2170"/>
      <c r="AJ41" s="2157"/>
      <c r="AK41" s="2158"/>
      <c r="AL41" s="2158"/>
      <c r="AM41" s="2158"/>
      <c r="AN41" s="1953" t="s">
        <v>484</v>
      </c>
      <c r="AO41" s="1953"/>
      <c r="AP41" s="2144" t="s">
        <v>440</v>
      </c>
      <c r="AQ41" s="2144"/>
      <c r="AR41" s="2145"/>
      <c r="AS41" s="2112"/>
      <c r="AT41" s="2115"/>
      <c r="AU41" s="1953"/>
    </row>
    <row customHeight="1" ht="14.25">
      <c r="Q42" s="272"/>
      <c r="R42" s="368"/>
      <c r="S42" s="2107"/>
      <c r="T42" s="2044"/>
      <c r="U42" s="1026"/>
      <c r="V42" s="2019"/>
      <c r="W42" s="2020"/>
      <c r="X42" s="2127"/>
      <c r="Y42" s="2146"/>
      <c r="Z42" s="2147"/>
      <c r="AA42" s="2172"/>
      <c r="AB42" s="2157"/>
      <c r="AC42" s="2158"/>
      <c r="AD42" s="2158"/>
      <c r="AE42" s="2170"/>
      <c r="AF42" s="2158"/>
      <c r="AG42" s="2158"/>
      <c r="AH42" s="2158"/>
      <c r="AI42" s="2170"/>
      <c r="AJ42" s="2157"/>
      <c r="AK42" s="2158"/>
      <c r="AL42" s="2158"/>
      <c r="AM42" s="2158"/>
      <c r="AN42" s="2174"/>
      <c r="AO42" s="2174"/>
      <c r="AP42" s="2146"/>
      <c r="AQ42" s="2146"/>
      <c r="AR42" s="2147"/>
      <c r="AS42" s="2112"/>
      <c r="AT42" s="2115"/>
      <c r="AU42" s="1953"/>
    </row>
    <row customHeight="1" ht="14.25">
      <c r="A43" s="1387"/>
      <c r="B43" s="1387" t="s">
        <v>134</v>
      </c>
      <c r="C43" s="1387" t="s">
        <v>135</v>
      </c>
      <c r="D43" s="1387" t="s">
        <v>136</v>
      </c>
      <c r="E43" s="1381" t="s">
        <v>441</v>
      </c>
      <c r="F43" s="1381" t="s">
        <v>442</v>
      </c>
      <c r="G43" s="1381" t="s">
        <v>443</v>
      </c>
      <c r="H43" s="1381" t="s">
        <v>444</v>
      </c>
      <c r="I43" s="1381" t="s">
        <v>445</v>
      </c>
      <c r="J43" s="1381" t="s">
        <v>446</v>
      </c>
      <c r="K43" s="1381" t="s">
        <v>447</v>
      </c>
      <c r="L43" s="1381" t="s">
        <v>422</v>
      </c>
      <c r="Q43" s="272"/>
      <c r="R43" s="368"/>
      <c r="S43" s="2107"/>
      <c r="T43" s="2044"/>
      <c r="U43" s="282"/>
      <c r="V43" s="1347" t="s">
        <v>485</v>
      </c>
      <c r="W43" s="1347" t="s">
        <v>486</v>
      </c>
      <c r="X43" s="1355" t="s">
        <v>450</v>
      </c>
      <c r="Y43" s="2103" t="s">
        <v>451</v>
      </c>
      <c r="Z43" s="2104"/>
      <c r="AA43" s="2173"/>
      <c r="AB43" s="2159"/>
      <c r="AC43" s="2160"/>
      <c r="AD43" s="2160"/>
      <c r="AE43" s="2161"/>
      <c r="AF43" s="2160"/>
      <c r="AG43" s="2160"/>
      <c r="AH43" s="2160"/>
      <c r="AI43" s="2161"/>
      <c r="AJ43" s="2159"/>
      <c r="AK43" s="2160"/>
      <c r="AL43" s="2160"/>
      <c r="AM43" s="2161"/>
      <c r="AN43" s="1885" t="s">
        <v>485</v>
      </c>
      <c r="AO43" s="1885" t="s">
        <v>486</v>
      </c>
      <c r="AP43" s="1355" t="s">
        <v>450</v>
      </c>
      <c r="AQ43" s="2103" t="s">
        <v>451</v>
      </c>
      <c r="AR43" s="2104"/>
      <c r="AS43" s="2113"/>
      <c r="AT43" s="2116"/>
      <c r="AU43" s="1953"/>
    </row>
    <row s="1666" customFormat="1" customHeight="1" ht="11.25" hidden="1">
      <c r="A44" s="1387"/>
      <c r="B44" s="1387"/>
      <c r="C44" s="1387"/>
      <c r="D44" s="1387"/>
      <c r="E44" s="1387"/>
      <c r="F44" s="1387"/>
      <c r="G44" s="1387"/>
      <c r="H44" s="1387"/>
      <c r="I44" s="1387"/>
      <c r="J44" s="1387"/>
      <c r="K44" s="1387"/>
      <c r="L44" s="1381"/>
      <c r="M44" s="1379"/>
      <c r="N44" s="1379"/>
      <c r="O44" s="1379"/>
      <c r="P44" s="506"/>
      <c r="Q44" s="1267"/>
      <c r="R44" s="1267">
        <v>1</v>
      </c>
      <c r="S44" s="1294" t="s">
        <v>108</v>
      </c>
      <c r="T44" s="1268" t="s">
        <v>109</v>
      </c>
      <c r="U44" s="1250" t="str">
        <f>OFFSET(U44,0,-1)</f>
        <v>2</v>
      </c>
      <c r="V44" s="1352">
        <f>OFFSET(V44,0,-1)+1</f>
        <v>3</v>
      </c>
      <c r="W44" s="1352">
        <f>OFFSET(W44,0,-1)+1</f>
        <v>4</v>
      </c>
      <c r="X44" s="1352">
        <f>OFFSET(X44,0,-1)+1</f>
        <v>5</v>
      </c>
      <c r="Y44" s="2105">
        <f>OFFSET(Y44,0,-1)+1</f>
        <v>6</v>
      </c>
      <c r="Z44" s="2105"/>
      <c r="AA44" s="1352">
        <f>OFFSET(AA44,0,-2)+1</f>
        <v>7</v>
      </c>
      <c r="AB44" s="1358">
        <f>OFFSET(AB44,0,-1)+1</f>
        <v>8</v>
      </c>
      <c r="AC44" s="1358"/>
      <c r="AD44" s="1358"/>
      <c r="AE44" s="1358"/>
      <c r="AF44" s="1352"/>
      <c r="AG44" s="1352"/>
      <c r="AH44" s="1352"/>
      <c r="AI44" s="1352"/>
      <c r="AJ44" s="1352"/>
      <c r="AK44" s="1352"/>
      <c r="AL44" s="1352"/>
      <c r="AM44" s="1352"/>
      <c r="AN44" s="1352">
        <f>OFFSET(AN44,0,-1)+1</f>
        <v>1</v>
      </c>
      <c r="AO44" s="1352">
        <f>OFFSET(AO44,0,-1)+1</f>
        <v>2</v>
      </c>
      <c r="AP44" s="1352">
        <f>OFFSET(AP44,0,-1)+1</f>
        <v>3</v>
      </c>
      <c r="AQ44" s="2105">
        <f>OFFSET(AQ44,0,-1)+1</f>
        <v>4</v>
      </c>
      <c r="AR44" s="2105"/>
      <c r="AS44" s="1352">
        <f>OFFSET(AS44,0,-2)+1</f>
        <v>5</v>
      </c>
      <c r="AT44" s="1250">
        <f>OFFSET(AT44,0,-1)</f>
        <v>5</v>
      </c>
      <c r="AU44" s="1352">
        <f>OFFSET(AU44,0,-1)+1</f>
        <v>6</v>
      </c>
      <c r="AV44" s="507"/>
      <c r="AW44" s="507"/>
      <c r="AX44" s="507"/>
      <c r="AY44" s="507"/>
      <c r="AZ44" s="507"/>
    </row>
    <row customHeight="1" ht="102">
      <c r="A45" s="1380" t="s">
        <v>217</v>
      </c>
      <c r="B45" s="1380"/>
      <c r="C45" s="1380"/>
      <c r="D45" s="1380"/>
      <c r="E45" s="2089">
        <v>1</v>
      </c>
      <c r="F45" s="1380"/>
      <c r="G45" s="1380"/>
      <c r="H45" s="1380"/>
      <c r="I45" s="1380"/>
      <c r="J45" s="1380"/>
      <c r="K45" s="1380"/>
      <c r="L45" s="1381"/>
      <c r="M45" s="1382"/>
      <c r="N45" s="1382"/>
      <c r="O45" s="1382"/>
      <c r="P45" s="1426"/>
      <c r="Q45" s="867"/>
      <c r="R45" s="343"/>
      <c r="S45" s="1353">
        <f>INDEX(PT_DIFFERENTIATION_NUM_NTAR,MATCH(A45,PT_DIFFERENTIATION_NTAR_ID,0))</f>
        <v>0</v>
      </c>
      <c r="T45" s="278" t="s">
        <v>122</v>
      </c>
      <c r="U45" s="280"/>
      <c r="V45" s="2084"/>
      <c r="W45" s="2084"/>
      <c r="X45" s="2084"/>
      <c r="Y45" s="2084"/>
      <c r="Z45" s="2084"/>
      <c r="AA45" s="2085"/>
      <c r="AB45" s="2083" t="str">
        <f>INDEX(PT_DIFFERENTIATION_NTAR,MATCH(A45,PT_DIFFERENTIATION_NTAR_ID,0))</f>
        <v/>
      </c>
      <c r="AC45" s="2084"/>
      <c r="AD45" s="2084"/>
      <c r="AE45" s="2084"/>
      <c r="AF45" s="2084"/>
      <c r="AG45" s="2084"/>
      <c r="AH45" s="2084"/>
      <c r="AI45" s="2084"/>
      <c r="AJ45" s="2084"/>
      <c r="AK45" s="2084"/>
      <c r="AL45" s="2084"/>
      <c r="AM45" s="2084"/>
      <c r="AN45" s="2084"/>
      <c r="AO45" s="2084"/>
      <c r="AP45" s="2084"/>
      <c r="AQ45" s="2084"/>
      <c r="AR45" s="2084"/>
      <c r="AS45" s="2084"/>
      <c r="AT45" s="2085"/>
      <c r="AU45" s="127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96"/>
      <c r="AX45" s="496" t="str">
        <f>IF(T45="","",T45)</f>
        <v>Наименование тарифа</v>
      </c>
      <c r="AY45" s="496"/>
      <c r="AZ45" s="496"/>
    </row>
    <row customHeight="1" ht="21">
      <c r="A46" s="1380" t="s">
        <v>217</v>
      </c>
      <c r="B46" s="1380" t="s">
        <v>218</v>
      </c>
      <c r="C46" s="1380"/>
      <c r="D46" s="1380"/>
      <c r="E46" s="2090"/>
      <c r="F46" s="2089">
        <v>1</v>
      </c>
      <c r="G46" s="1380"/>
      <c r="H46" s="1380"/>
      <c r="I46" s="1380"/>
      <c r="J46" s="1380"/>
      <c r="K46" s="1380"/>
      <c r="L46" s="1381"/>
      <c r="M46" s="1382"/>
      <c r="N46" s="1382"/>
      <c r="O46" s="1382"/>
      <c r="P46" s="1427"/>
      <c r="Q46" s="1428"/>
      <c r="R46" s="341"/>
      <c r="S46" s="1353" t="str">
        <f>INDEX(PT_DIFFERENTIATION_NUM_TER,MATCH(B46,PT_DIFFERENTIATION_TER_ID,0))</f>
        <v>.</v>
      </c>
      <c r="T46" s="290" t="s">
        <v>404</v>
      </c>
      <c r="U46" s="280"/>
      <c r="V46" s="2084"/>
      <c r="W46" s="2084"/>
      <c r="X46" s="2084"/>
      <c r="Y46" s="2084"/>
      <c r="Z46" s="2084"/>
      <c r="AA46" s="2085"/>
      <c r="AB46" s="2083" t="str">
        <f>INDEX(PT_DIFFERENTIATION_TER,MATCH(B46,PT_DIFFERENTIATION_TER_ID,0))</f>
        <v/>
      </c>
      <c r="AC46" s="2084"/>
      <c r="AD46" s="2084"/>
      <c r="AE46" s="2084"/>
      <c r="AF46" s="2084"/>
      <c r="AG46" s="2084"/>
      <c r="AH46" s="2084"/>
      <c r="AI46" s="2084"/>
      <c r="AJ46" s="2084"/>
      <c r="AK46" s="2084"/>
      <c r="AL46" s="2084"/>
      <c r="AM46" s="2084"/>
      <c r="AN46" s="2084"/>
      <c r="AO46" s="2084"/>
      <c r="AP46" s="2084"/>
      <c r="AQ46" s="2084"/>
      <c r="AR46" s="2084"/>
      <c r="AS46" s="2084"/>
      <c r="AT46" s="2085"/>
      <c r="AU46" s="1273" t="s">
        <v>405</v>
      </c>
      <c r="AW46" s="496"/>
      <c r="AX46" s="496" t="str">
        <f>IF(T46="","",T46)</f>
        <v>Территория действия тарифа</v>
      </c>
      <c r="AY46" s="496"/>
      <c r="AZ46" s="496"/>
    </row>
    <row customHeight="1" ht="23.25">
      <c r="A47" s="1380" t="s">
        <v>217</v>
      </c>
      <c r="B47" s="1380" t="s">
        <v>218</v>
      </c>
      <c r="C47" s="1380" t="s">
        <v>219</v>
      </c>
      <c r="D47" s="1380"/>
      <c r="E47" s="2090"/>
      <c r="F47" s="2090"/>
      <c r="G47" s="2089">
        <v>1</v>
      </c>
      <c r="H47" s="1380"/>
      <c r="I47" s="1380"/>
      <c r="J47" s="1380"/>
      <c r="K47" s="1380"/>
      <c r="L47" s="1381"/>
      <c r="M47" s="1382"/>
      <c r="N47" s="1382"/>
      <c r="O47" s="1382"/>
      <c r="P47" s="1429"/>
      <c r="Q47" s="1428"/>
      <c r="R47" s="341"/>
      <c r="S47" s="1353" t="str">
        <f>INDEX(PT_DIFFERENTIATION_NUM_CS,MATCH(C47,PT_DIFFERENTIATION_CS_ID,0))</f>
        <v>..</v>
      </c>
      <c r="T47" s="291" t="s">
        <v>406</v>
      </c>
      <c r="U47" s="280"/>
      <c r="V47" s="2084"/>
      <c r="W47" s="2084"/>
      <c r="X47" s="2084"/>
      <c r="Y47" s="2084"/>
      <c r="Z47" s="2084"/>
      <c r="AA47" s="2085"/>
      <c r="AB47" s="2083" t="str">
        <f>INDEX(PT_DIFFERENTIATION_CS,MATCH(C47,PT_DIFFERENTIATION_CS_ID,0))</f>
        <v/>
      </c>
      <c r="AC47" s="2084"/>
      <c r="AD47" s="2084"/>
      <c r="AE47" s="2084"/>
      <c r="AF47" s="2084"/>
      <c r="AG47" s="2084"/>
      <c r="AH47" s="2084"/>
      <c r="AI47" s="2084"/>
      <c r="AJ47" s="2084"/>
      <c r="AK47" s="2084"/>
      <c r="AL47" s="2084"/>
      <c r="AM47" s="2084"/>
      <c r="AN47" s="2084"/>
      <c r="AO47" s="2084"/>
      <c r="AP47" s="2084"/>
      <c r="AQ47" s="2084"/>
      <c r="AR47" s="2084"/>
      <c r="AS47" s="2084"/>
      <c r="AT47" s="2085"/>
      <c r="AU47" s="1273" t="s">
        <v>407</v>
      </c>
      <c r="AW47" s="496"/>
      <c r="AX47" s="496" t="str">
        <f>IF(T47="","",T47)</f>
        <v>Наименование системы теплоснабжения </v>
      </c>
      <c r="AY47" s="496"/>
      <c r="AZ47" s="496"/>
    </row>
    <row customHeight="1" ht="21">
      <c r="A48" s="1380" t="s">
        <v>217</v>
      </c>
      <c r="B48" s="1380" t="s">
        <v>218</v>
      </c>
      <c r="C48" s="1380" t="s">
        <v>219</v>
      </c>
      <c r="D48" s="1380" t="s">
        <v>220</v>
      </c>
      <c r="E48" s="2090"/>
      <c r="F48" s="2090"/>
      <c r="G48" s="2090"/>
      <c r="H48" s="2089">
        <v>1</v>
      </c>
      <c r="I48" s="1380"/>
      <c r="J48" s="1380"/>
      <c r="K48" s="1380"/>
      <c r="L48" s="1381"/>
      <c r="M48" s="1382"/>
      <c r="N48" s="1382"/>
      <c r="O48" s="1382"/>
      <c r="P48" s="1429"/>
      <c r="Q48" s="1428"/>
      <c r="R48" s="341"/>
      <c r="S48" s="1353" t="str">
        <f>INDEX(PT_DIFFERENTIATION_NUM_IST_TE,MATCH(D48,PT_DIFFERENTIATION_IST_TE_ID,0))</f>
        <v>...</v>
      </c>
      <c r="T48" s="292" t="s">
        <v>408</v>
      </c>
      <c r="U48" s="280"/>
      <c r="V48" s="2084"/>
      <c r="W48" s="2084"/>
      <c r="X48" s="2084"/>
      <c r="Y48" s="2084"/>
      <c r="Z48" s="2084"/>
      <c r="AA48" s="2085"/>
      <c r="AB48" s="2083" t="str">
        <f>INDEX(PT_DIFFERENTIATION_IST_TE,MATCH(D48,PT_DIFFERENTIATION_IST_TE_ID,0))</f>
        <v/>
      </c>
      <c r="AC48" s="2084"/>
      <c r="AD48" s="2084"/>
      <c r="AE48" s="2084"/>
      <c r="AF48" s="2084"/>
      <c r="AG48" s="2084"/>
      <c r="AH48" s="2084"/>
      <c r="AI48" s="2084"/>
      <c r="AJ48" s="2084"/>
      <c r="AK48" s="2084"/>
      <c r="AL48" s="2084"/>
      <c r="AM48" s="2084"/>
      <c r="AN48" s="2084"/>
      <c r="AO48" s="2084"/>
      <c r="AP48" s="2084"/>
      <c r="AQ48" s="2084"/>
      <c r="AR48" s="2084"/>
      <c r="AS48" s="2084"/>
      <c r="AT48" s="2085"/>
      <c r="AU48" s="1273" t="s">
        <v>409</v>
      </c>
      <c r="AW48" s="496"/>
      <c r="AX48" s="496" t="str">
        <f>IF(T48="","",T48)</f>
        <v>Источник тепловой энергии  </v>
      </c>
      <c r="AY48" s="496"/>
      <c r="AZ48" s="496"/>
    </row>
    <row s="1667" customFormat="1" customHeight="1" ht="0">
      <c r="A49" s="1360" t="s">
        <v>217</v>
      </c>
      <c r="B49" s="1360" t="s">
        <v>218</v>
      </c>
      <c r="C49" s="1360" t="s">
        <v>219</v>
      </c>
      <c r="D49" s="1360" t="s">
        <v>220</v>
      </c>
      <c r="E49" s="2090"/>
      <c r="F49" s="2090"/>
      <c r="G49" s="2090"/>
      <c r="H49" s="2090"/>
      <c r="I49" s="2091" t="str">
        <f>S48&amp;".1"</f>
        <v>....1</v>
      </c>
      <c r="J49" s="1360"/>
      <c r="K49" s="1360"/>
      <c r="L49" s="1363" t="s">
        <v>410</v>
      </c>
      <c r="M49" s="506"/>
      <c r="N49" s="506"/>
      <c r="O49" s="506"/>
      <c r="P49" s="2093">
        <v>1</v>
      </c>
      <c r="Q49" s="1348"/>
      <c r="R49" s="344"/>
      <c r="S49" s="1037"/>
      <c r="T49" s="1400"/>
      <c r="U49" s="1401"/>
      <c r="V49" s="2130"/>
      <c r="W49" s="2130"/>
      <c r="X49" s="2130"/>
      <c r="Y49" s="2130"/>
      <c r="Z49" s="2130"/>
      <c r="AA49" s="2131"/>
      <c r="AB49" s="2129"/>
      <c r="AC49" s="2130"/>
      <c r="AD49" s="2130"/>
      <c r="AE49" s="2130"/>
      <c r="AF49" s="2130"/>
      <c r="AG49" s="2130"/>
      <c r="AH49" s="2130"/>
      <c r="AI49" s="2130"/>
      <c r="AJ49" s="2130"/>
      <c r="AK49" s="2130"/>
      <c r="AL49" s="2130"/>
      <c r="AM49" s="2130"/>
      <c r="AN49" s="2130"/>
      <c r="AO49" s="2130"/>
      <c r="AP49" s="2130"/>
      <c r="AQ49" s="2130"/>
      <c r="AR49" s="2130"/>
      <c r="AS49" s="2130"/>
      <c r="AT49" s="2131"/>
      <c r="AU49" s="1402"/>
      <c r="AW49" s="496"/>
      <c r="AX49" s="496" t="str">
        <f>IF(T49="","",T49)</f>
        <v/>
      </c>
      <c r="AY49" s="496"/>
      <c r="AZ49" s="496"/>
    </row>
    <row s="1667" customFormat="1" customHeight="1" ht="0">
      <c r="A50" s="1360" t="s">
        <v>217</v>
      </c>
      <c r="B50" s="1360" t="s">
        <v>218</v>
      </c>
      <c r="C50" s="1360" t="s">
        <v>219</v>
      </c>
      <c r="D50" s="1360" t="s">
        <v>220</v>
      </c>
      <c r="E50" s="2090"/>
      <c r="F50" s="2090"/>
      <c r="G50" s="2090"/>
      <c r="H50" s="2090"/>
      <c r="I50" s="2092"/>
      <c r="J50" s="2091" t="str">
        <f>S48&amp;".1"</f>
        <v>....1</v>
      </c>
      <c r="K50" s="1360"/>
      <c r="L50" s="1363"/>
      <c r="M50" s="506"/>
      <c r="N50" s="506"/>
      <c r="O50" s="506"/>
      <c r="P50" s="2093"/>
      <c r="Q50" s="2093">
        <v>1</v>
      </c>
      <c r="R50" s="345"/>
      <c r="S50" s="1037"/>
      <c r="T50" s="1416"/>
      <c r="U50" s="1401"/>
      <c r="V50" s="2130"/>
      <c r="W50" s="2130"/>
      <c r="X50" s="2130"/>
      <c r="Y50" s="2130"/>
      <c r="Z50" s="2130"/>
      <c r="AA50" s="2131"/>
      <c r="AB50" s="2129"/>
      <c r="AC50" s="2130"/>
      <c r="AD50" s="2130"/>
      <c r="AE50" s="2130"/>
      <c r="AF50" s="2130"/>
      <c r="AG50" s="2130"/>
      <c r="AH50" s="2130"/>
      <c r="AI50" s="2130"/>
      <c r="AJ50" s="2130"/>
      <c r="AK50" s="2130"/>
      <c r="AL50" s="2130"/>
      <c r="AM50" s="2130"/>
      <c r="AN50" s="2130"/>
      <c r="AO50" s="2130"/>
      <c r="AP50" s="2130"/>
      <c r="AQ50" s="2130"/>
      <c r="AR50" s="2130"/>
      <c r="AS50" s="2130"/>
      <c r="AT50" s="2131"/>
      <c r="AU50" s="1402"/>
      <c r="AW50" s="496"/>
      <c r="AX50" s="496" t="str">
        <f>IF(T50="","",T50)</f>
        <v/>
      </c>
      <c r="AY50" s="496"/>
      <c r="AZ50" s="496"/>
    </row>
    <row customHeight="1" ht="21">
      <c r="A51" s="1380" t="s">
        <v>217</v>
      </c>
      <c r="B51" s="1380" t="s">
        <v>218</v>
      </c>
      <c r="C51" s="1380" t="s">
        <v>219</v>
      </c>
      <c r="D51" s="1380" t="s">
        <v>220</v>
      </c>
      <c r="E51" s="2090"/>
      <c r="F51" s="2090"/>
      <c r="G51" s="2090"/>
      <c r="H51" s="2090"/>
      <c r="I51" s="2092"/>
      <c r="J51" s="2092"/>
      <c r="K51" s="2091" t="str">
        <f>S48&amp;".1"</f>
        <v>....1</v>
      </c>
      <c r="L51" s="1381"/>
      <c r="P51" s="2093"/>
      <c r="Q51" s="2093"/>
      <c r="R51" s="345">
        <v>1</v>
      </c>
      <c r="S51" s="2166" t="str">
        <f>$K51</f>
        <v>....1</v>
      </c>
      <c r="T51" s="2163"/>
      <c r="U51" s="280"/>
      <c r="V51" s="746"/>
      <c r="W51" s="1272"/>
      <c r="X51" s="1758"/>
      <c r="Y51" s="1476" t="s">
        <v>66</v>
      </c>
      <c r="Z51" s="1758"/>
      <c r="AA51" s="1476" t="s">
        <v>66</v>
      </c>
      <c r="AB51" s="1963" t="s">
        <v>56</v>
      </c>
      <c r="AC51" s="2162"/>
      <c r="AD51" s="2039">
        <v>1</v>
      </c>
      <c r="AE51" s="2154" t="s">
        <v>24</v>
      </c>
      <c r="AF51" s="1963" t="s">
        <v>56</v>
      </c>
      <c r="AG51" s="2162"/>
      <c r="AH51" s="2039">
        <v>1</v>
      </c>
      <c r="AI51" s="2154" t="s">
        <v>24</v>
      </c>
      <c r="AJ51" s="1963" t="s">
        <v>56</v>
      </c>
      <c r="AK51" s="293"/>
      <c r="AL51" s="1354">
        <v>1</v>
      </c>
      <c r="AM51" s="1419"/>
      <c r="AN51" s="746"/>
      <c r="AO51" s="1272"/>
      <c r="AP51" s="1758"/>
      <c r="AQ51" s="1476" t="s">
        <v>66</v>
      </c>
      <c r="AR51" s="1758"/>
      <c r="AS51" s="1476" t="s">
        <v>66</v>
      </c>
      <c r="AT51" s="1365"/>
      <c r="AU51" s="2119" t="s">
        <v>487</v>
      </c>
      <c r="AV51" s="507">
        <f>STRCHECKDATE(V54:AT54)</f>
      </c>
      <c r="AW51" s="496"/>
      <c r="AX51" s="496" t="str">
        <f>IF(T51="","",T51)</f>
        <v/>
      </c>
      <c r="AY51" s="496"/>
      <c r="AZ51" s="496"/>
    </row>
    <row customHeight="1" ht="11.25">
      <c r="A52" s="1380" t="s">
        <v>217</v>
      </c>
      <c r="B52" s="1380"/>
      <c r="C52" s="1380"/>
      <c r="D52" s="1380"/>
      <c r="E52" s="2090"/>
      <c r="F52" s="2090"/>
      <c r="G52" s="2090"/>
      <c r="H52" s="2090"/>
      <c r="I52" s="2092"/>
      <c r="J52" s="2092"/>
      <c r="K52" s="2091"/>
      <c r="L52" s="1381"/>
      <c r="P52" s="2093"/>
      <c r="Q52" s="2093"/>
      <c r="R52" s="345"/>
      <c r="S52" s="2167"/>
      <c r="T52" s="2164"/>
      <c r="U52" s="280"/>
      <c r="V52" s="1410"/>
      <c r="W52" s="1513"/>
      <c r="X52" s="1410"/>
      <c r="Y52" s="1410"/>
      <c r="Z52" s="1410"/>
      <c r="AA52" s="1410"/>
      <c r="AB52" s="1963"/>
      <c r="AC52" s="2162"/>
      <c r="AD52" s="2039"/>
      <c r="AE52" s="2154"/>
      <c r="AF52" s="1963"/>
      <c r="AG52" s="2162"/>
      <c r="AH52" s="2039"/>
      <c r="AI52" s="2154"/>
      <c r="AJ52" s="1963"/>
      <c r="AK52" s="300"/>
      <c r="AL52" s="413"/>
      <c r="AM52" s="412" t="s">
        <v>471</v>
      </c>
      <c r="AN52" s="1410"/>
      <c r="AO52" s="1513"/>
      <c r="AP52" s="1410"/>
      <c r="AQ52" s="1410"/>
      <c r="AR52" s="1410"/>
      <c r="AS52" s="1410"/>
      <c r="AT52" s="1407"/>
      <c r="AU52" s="2120"/>
      <c r="AW52" s="496"/>
      <c r="AX52" s="496"/>
      <c r="AY52" s="496"/>
      <c r="AZ52" s="496"/>
    </row>
    <row customHeight="1" ht="11.25">
      <c r="A53" s="1380" t="s">
        <v>217</v>
      </c>
      <c r="B53" s="1380"/>
      <c r="C53" s="1380"/>
      <c r="D53" s="1380"/>
      <c r="E53" s="2090"/>
      <c r="F53" s="2090"/>
      <c r="G53" s="2090"/>
      <c r="H53" s="2090"/>
      <c r="I53" s="2092"/>
      <c r="J53" s="2092"/>
      <c r="K53" s="2091"/>
      <c r="L53" s="1381"/>
      <c r="P53" s="2093"/>
      <c r="Q53" s="2093"/>
      <c r="R53" s="345"/>
      <c r="S53" s="2167"/>
      <c r="T53" s="2164"/>
      <c r="U53" s="280"/>
      <c r="V53" s="1410"/>
      <c r="W53" s="1513"/>
      <c r="X53" s="1410"/>
      <c r="Y53" s="1410"/>
      <c r="Z53" s="1410"/>
      <c r="AA53" s="1410"/>
      <c r="AB53" s="1963"/>
      <c r="AC53" s="2162"/>
      <c r="AD53" s="2039"/>
      <c r="AE53" s="2154"/>
      <c r="AF53" s="1963"/>
      <c r="AG53" s="274"/>
      <c r="AH53" s="412"/>
      <c r="AI53" s="412" t="s">
        <v>472</v>
      </c>
      <c r="AJ53" s="1410"/>
      <c r="AK53" s="1410"/>
      <c r="AL53" s="1410"/>
      <c r="AM53" s="1410"/>
      <c r="AN53" s="1410"/>
      <c r="AO53" s="1513"/>
      <c r="AP53" s="1410"/>
      <c r="AQ53" s="1410"/>
      <c r="AR53" s="1410"/>
      <c r="AS53" s="1410"/>
      <c r="AT53" s="1407"/>
      <c r="AU53" s="2120"/>
      <c r="AW53" s="496"/>
      <c r="AX53" s="496"/>
      <c r="AY53" s="496"/>
      <c r="AZ53" s="496"/>
    </row>
    <row customHeight="1" ht="11.25">
      <c r="A54" s="1380" t="s">
        <v>217</v>
      </c>
      <c r="B54" s="1380" t="s">
        <v>218</v>
      </c>
      <c r="C54" s="1380" t="s">
        <v>219</v>
      </c>
      <c r="D54" s="1380" t="s">
        <v>220</v>
      </c>
      <c r="E54" s="2090"/>
      <c r="F54" s="2090"/>
      <c r="G54" s="2090"/>
      <c r="H54" s="2090"/>
      <c r="I54" s="2092"/>
      <c r="J54" s="2092"/>
      <c r="K54" s="2091"/>
      <c r="L54" s="1381"/>
      <c r="P54" s="2093"/>
      <c r="Q54" s="2093"/>
      <c r="R54" s="345"/>
      <c r="S54" s="2168"/>
      <c r="T54" s="2165"/>
      <c r="U54" s="280"/>
      <c r="V54" s="1410"/>
      <c r="W54" s="1411" t="str">
        <f>X51&amp;"-"&amp;Z51</f>
        <v>-</v>
      </c>
      <c r="X54" s="1410"/>
      <c r="Y54" s="1410"/>
      <c r="Z54" s="1410"/>
      <c r="AA54" s="1410"/>
      <c r="AB54" s="1963"/>
      <c r="AC54" s="294"/>
      <c r="AD54" s="296"/>
      <c r="AE54" s="412" t="s">
        <v>473</v>
      </c>
      <c r="AF54" s="1410"/>
      <c r="AG54" s="1410"/>
      <c r="AH54" s="1410"/>
      <c r="AI54" s="1410"/>
      <c r="AJ54" s="1410"/>
      <c r="AK54" s="1410"/>
      <c r="AL54" s="1410"/>
      <c r="AM54" s="1410"/>
      <c r="AN54" s="1410"/>
      <c r="AO54" s="1411" t="str">
        <f>AP51&amp;"-"&amp;AR51</f>
        <v>-</v>
      </c>
      <c r="AP54" s="1410"/>
      <c r="AQ54" s="1410"/>
      <c r="AR54" s="1410"/>
      <c r="AS54" s="1410"/>
      <c r="AT54" s="1366"/>
      <c r="AU54" s="2120"/>
      <c r="AW54" s="496"/>
      <c r="AX54" s="496" t="str">
        <f>IF(T54="","",T54)</f>
        <v/>
      </c>
      <c r="AY54" s="496"/>
      <c r="AZ54" s="496"/>
    </row>
    <row customHeight="1" ht="11.25">
      <c r="A55" s="1380" t="s">
        <v>217</v>
      </c>
      <c r="B55" s="1380" t="s">
        <v>218</v>
      </c>
      <c r="C55" s="1380" t="s">
        <v>219</v>
      </c>
      <c r="D55" s="1380" t="s">
        <v>220</v>
      </c>
      <c r="E55" s="2090"/>
      <c r="F55" s="2090"/>
      <c r="G55" s="2090"/>
      <c r="H55" s="2090"/>
      <c r="I55" s="2092"/>
      <c r="J55" s="2091"/>
      <c r="K55" s="1380"/>
      <c r="L55" s="1381"/>
      <c r="P55" s="2093"/>
      <c r="Q55" s="2093"/>
      <c r="R55" s="344"/>
      <c r="S55" s="1295"/>
      <c r="T55" s="268" t="s">
        <v>474</v>
      </c>
      <c r="U55" s="359"/>
      <c r="V55" s="359"/>
      <c r="W55" s="359"/>
      <c r="X55" s="359"/>
      <c r="Y55" s="359"/>
      <c r="Z55" s="359"/>
      <c r="AA55" s="311"/>
      <c r="AB55" s="1522"/>
      <c r="AC55" s="359"/>
      <c r="AD55" s="359"/>
      <c r="AE55" s="359"/>
      <c r="AF55" s="359"/>
      <c r="AG55" s="359"/>
      <c r="AH55" s="359"/>
      <c r="AI55" s="359"/>
      <c r="AJ55" s="359"/>
      <c r="AK55" s="359"/>
      <c r="AL55" s="359"/>
      <c r="AM55" s="359"/>
      <c r="AN55" s="359"/>
      <c r="AO55" s="359"/>
      <c r="AP55" s="359"/>
      <c r="AQ55" s="359"/>
      <c r="AR55" s="359"/>
      <c r="AS55" s="359"/>
      <c r="AT55" s="311"/>
      <c r="AU55" s="2121"/>
      <c r="AW55" s="496"/>
      <c r="AX55" s="496" t="str">
        <f>IF(T55="","",T55)</f>
        <v>Добавить строку</v>
      </c>
      <c r="AY55" s="496"/>
      <c r="AZ55" s="496"/>
    </row>
    <row s="1667" customFormat="1" customHeight="1" ht="0">
      <c r="A56" s="1360" t="s">
        <v>217</v>
      </c>
      <c r="B56" s="1360" t="s">
        <v>218</v>
      </c>
      <c r="C56" s="1360" t="s">
        <v>219</v>
      </c>
      <c r="D56" s="1360" t="s">
        <v>220</v>
      </c>
      <c r="E56" s="2090"/>
      <c r="F56" s="2090"/>
      <c r="G56" s="2090"/>
      <c r="H56" s="2090"/>
      <c r="I56" s="2091"/>
      <c r="J56" s="1360"/>
      <c r="K56" s="1360"/>
      <c r="L56" s="1363"/>
      <c r="M56" s="506"/>
      <c r="N56" s="506"/>
      <c r="O56" s="506"/>
      <c r="P56" s="2093"/>
      <c r="Q56" s="1348"/>
      <c r="R56" s="344"/>
      <c r="S56" s="1403"/>
      <c r="T56" s="1404" t="s">
        <v>419</v>
      </c>
      <c r="U56" s="1405"/>
      <c r="V56" s="1405"/>
      <c r="W56" s="1405"/>
      <c r="X56" s="1405"/>
      <c r="Y56" s="1405"/>
      <c r="Z56" s="1405"/>
      <c r="AA56" s="1405"/>
      <c r="AB56" s="1405"/>
      <c r="AC56" s="1405"/>
      <c r="AD56" s="1405"/>
      <c r="AE56" s="1405"/>
      <c r="AF56" s="1405"/>
      <c r="AG56" s="1405"/>
      <c r="AH56" s="1405"/>
      <c r="AI56" s="1405"/>
      <c r="AJ56" s="1405"/>
      <c r="AK56" s="1405"/>
      <c r="AL56" s="1405"/>
      <c r="AM56" s="1405"/>
      <c r="AN56" s="1405"/>
      <c r="AO56" s="1405"/>
      <c r="AP56" s="1405"/>
      <c r="AQ56" s="1405"/>
      <c r="AR56" s="1405"/>
      <c r="AS56" s="1405"/>
      <c r="AT56" s="1405"/>
      <c r="AU56" s="1406"/>
      <c r="AW56" s="496"/>
      <c r="AX56" s="496" t="str">
        <f>IF(T56="","",T56)</f>
        <v>Добавить группу потребителей</v>
      </c>
      <c r="AY56" s="496"/>
      <c r="AZ56" s="496"/>
    </row>
    <row s="1666" customFormat="1" customHeight="1" ht="0">
      <c r="A57" s="1360" t="s">
        <v>217</v>
      </c>
      <c r="B57" s="1360" t="s">
        <v>218</v>
      </c>
      <c r="C57" s="1360" t="s">
        <v>219</v>
      </c>
      <c r="D57" s="1360" t="s">
        <v>220</v>
      </c>
      <c r="E57" s="2090"/>
      <c r="F57" s="2090"/>
      <c r="G57" s="2090"/>
      <c r="H57" s="2089"/>
      <c r="I57" s="1360"/>
      <c r="J57" s="1360"/>
      <c r="K57" s="1360"/>
      <c r="L57" s="1363"/>
      <c r="M57" s="1332"/>
      <c r="N57" s="1332"/>
      <c r="O57" s="514"/>
      <c r="P57" s="376"/>
      <c r="Q57" s="1361"/>
      <c r="R57" s="1417"/>
      <c r="S57" s="1403"/>
      <c r="T57" s="1404"/>
      <c r="U57" s="1405"/>
      <c r="V57" s="1405"/>
      <c r="W57" s="1405"/>
      <c r="X57" s="1405"/>
      <c r="Y57" s="1405"/>
      <c r="Z57" s="1405"/>
      <c r="AA57" s="1405"/>
      <c r="AB57" s="1405"/>
      <c r="AC57" s="1405"/>
      <c r="AD57" s="1405"/>
      <c r="AE57" s="1405"/>
      <c r="AF57" s="1405"/>
      <c r="AG57" s="1405"/>
      <c r="AH57" s="1405"/>
      <c r="AI57" s="1405"/>
      <c r="AJ57" s="1405"/>
      <c r="AK57" s="1405"/>
      <c r="AL57" s="1405"/>
      <c r="AM57" s="1405"/>
      <c r="AN57" s="1405"/>
      <c r="AO57" s="1405"/>
      <c r="AP57" s="1405"/>
      <c r="AQ57" s="1405"/>
      <c r="AR57" s="1405"/>
      <c r="AS57" s="1405"/>
      <c r="AT57" s="1405"/>
      <c r="AU57" s="1406"/>
      <c r="AV57" s="507"/>
      <c r="AW57" s="496"/>
      <c r="AX57" s="496" t="str">
        <f>IF(T57="","",T57)</f>
        <v/>
      </c>
      <c r="AY57" s="496"/>
      <c r="AZ57" s="496"/>
    </row>
    <row s="1667" customFormat="1" customHeight="1" ht="0">
      <c r="A58" s="1360" t="s">
        <v>217</v>
      </c>
      <c r="B58" s="1360" t="s">
        <v>218</v>
      </c>
      <c r="C58" s="1360" t="s">
        <v>219</v>
      </c>
      <c r="D58" s="1331"/>
      <c r="E58" s="2090"/>
      <c r="F58" s="2090"/>
      <c r="G58" s="2089"/>
      <c r="H58" s="1331"/>
      <c r="I58" s="1331"/>
      <c r="J58" s="1331"/>
      <c r="K58" s="1331"/>
      <c r="L58" s="1356"/>
      <c r="M58" s="1332"/>
      <c r="N58" s="1332"/>
      <c r="P58" s="1333"/>
      <c r="Q58" s="1334"/>
      <c r="R58" s="1333"/>
      <c r="S58" s="1339"/>
      <c r="T58" s="1342" t="s">
        <v>166</v>
      </c>
      <c r="U58" s="1341"/>
      <c r="V58" s="1341"/>
      <c r="W58" s="1341"/>
      <c r="X58" s="1341"/>
      <c r="Y58" s="1341"/>
      <c r="Z58" s="1341"/>
      <c r="AA58" s="1341"/>
      <c r="AB58" s="1341"/>
      <c r="AC58" s="1341"/>
      <c r="AD58" s="1341"/>
      <c r="AE58" s="1341"/>
      <c r="AF58" s="1341"/>
      <c r="AG58" s="1341"/>
      <c r="AH58" s="1341"/>
      <c r="AI58" s="1341"/>
      <c r="AJ58" s="1341"/>
      <c r="AK58" s="1341"/>
      <c r="AL58" s="1341"/>
      <c r="AM58" s="1341"/>
      <c r="AN58" s="1341"/>
      <c r="AO58" s="1341"/>
      <c r="AP58" s="1341"/>
      <c r="AQ58" s="1341"/>
      <c r="AR58" s="1341"/>
      <c r="AS58" s="1341"/>
      <c r="AT58" s="1341"/>
      <c r="AU58" s="1341"/>
      <c r="AW58" s="783"/>
      <c r="AX58" s="783" t="str">
        <f>IF(T58="","",T58)</f>
        <v>Добавить источник для дифференциации</v>
      </c>
      <c r="AY58" s="783"/>
      <c r="AZ58" s="783"/>
    </row>
    <row s="1667" customFormat="1" customHeight="1" ht="0">
      <c r="A59" s="1360" t="s">
        <v>217</v>
      </c>
      <c r="B59" s="1360" t="s">
        <v>218</v>
      </c>
      <c r="C59" s="1331"/>
      <c r="D59" s="1331"/>
      <c r="E59" s="2090"/>
      <c r="F59" s="2089"/>
      <c r="G59" s="1331"/>
      <c r="H59" s="1331"/>
      <c r="I59" s="1331"/>
      <c r="J59" s="1331"/>
      <c r="K59" s="1331"/>
      <c r="L59" s="1356"/>
      <c r="M59" s="1338"/>
      <c r="N59" s="1338"/>
      <c r="P59" s="1333"/>
      <c r="Q59" s="1334"/>
      <c r="R59" s="1333"/>
      <c r="S59" s="1339"/>
      <c r="T59" s="1342" t="s">
        <v>167</v>
      </c>
      <c r="U59" s="1341"/>
      <c r="V59" s="1341"/>
      <c r="W59" s="1341"/>
      <c r="X59" s="1341"/>
      <c r="Y59" s="1341"/>
      <c r="Z59" s="1341"/>
      <c r="AA59" s="1341"/>
      <c r="AB59" s="1341"/>
      <c r="AC59" s="1341"/>
      <c r="AD59" s="1341"/>
      <c r="AE59" s="1341"/>
      <c r="AF59" s="1341"/>
      <c r="AG59" s="1341"/>
      <c r="AH59" s="1341"/>
      <c r="AI59" s="1341"/>
      <c r="AJ59" s="1341"/>
      <c r="AK59" s="1341"/>
      <c r="AL59" s="1341"/>
      <c r="AM59" s="1341"/>
      <c r="AN59" s="1341"/>
      <c r="AO59" s="1341"/>
      <c r="AP59" s="1341"/>
      <c r="AQ59" s="1341"/>
      <c r="AR59" s="1341"/>
      <c r="AS59" s="1341"/>
      <c r="AT59" s="1341"/>
      <c r="AU59" s="1341"/>
      <c r="AW59" s="783"/>
      <c r="AX59" s="783" t="str">
        <f>IF(T59="","",T59)</f>
        <v>Добавить централизованную систему для дифференциации</v>
      </c>
      <c r="AY59" s="783"/>
      <c r="AZ59" s="783"/>
    </row>
    <row s="1667" customFormat="1" customHeight="1" ht="0">
      <c r="A60" s="1360" t="s">
        <v>217</v>
      </c>
      <c r="B60" s="1360"/>
      <c r="C60" s="1360"/>
      <c r="D60" s="1360"/>
      <c r="E60" s="2090"/>
      <c r="F60" s="1360"/>
      <c r="G60" s="1360"/>
      <c r="H60" s="1360"/>
      <c r="I60" s="1360"/>
      <c r="J60" s="1360"/>
      <c r="K60" s="1360"/>
      <c r="L60" s="1363"/>
      <c r="M60" s="1338"/>
      <c r="N60" s="1338"/>
      <c r="O60" s="514"/>
      <c r="P60" s="376"/>
      <c r="Q60" s="1361"/>
      <c r="R60" s="376"/>
      <c r="S60" s="1339"/>
      <c r="T60" s="1342" t="s">
        <v>168</v>
      </c>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W60" s="496"/>
      <c r="AX60" s="496" t="str">
        <f>IF(T60="","",T60)</f>
        <v>Добавить территорию для дифференциации</v>
      </c>
      <c r="AY60" s="496"/>
      <c r="AZ60" s="496"/>
    </row>
    <row s="1667" customFormat="1" customHeight="1" ht="0">
      <c r="A61" s="1360" t="s">
        <v>217</v>
      </c>
      <c r="B61" s="1360"/>
      <c r="C61" s="1360"/>
      <c r="D61" s="1360"/>
      <c r="E61" s="2089"/>
      <c r="F61" s="1360"/>
      <c r="G61" s="1360"/>
      <c r="H61" s="1360"/>
      <c r="I61" s="1360"/>
      <c r="J61" s="1360"/>
      <c r="K61" s="1360"/>
      <c r="L61" s="1363"/>
      <c r="M61" s="1338"/>
      <c r="N61" s="1338"/>
      <c r="O61" s="514"/>
      <c r="P61" s="376"/>
      <c r="Q61" s="1361"/>
      <c r="R61" s="376"/>
      <c r="S61" s="1339"/>
      <c r="T61" s="1342" t="s">
        <v>168</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W61" s="496"/>
      <c r="AX61" s="496" t="str">
        <f>IF(T61="","",T61)</f>
        <v>Добавить территорию для дифференциации</v>
      </c>
      <c r="AY61" s="496"/>
      <c r="AZ61" s="496"/>
    </row>
    <row s="1667" customFormat="1" customHeight="1" ht="0">
      <c r="A62" s="1331"/>
      <c r="B62" s="1331"/>
      <c r="C62" s="1331"/>
      <c r="D62" s="1331"/>
      <c r="E62" s="1360"/>
      <c r="F62" s="1331"/>
      <c r="G62" s="1331"/>
      <c r="H62" s="1331"/>
      <c r="I62" s="1331"/>
      <c r="J62" s="1331"/>
      <c r="K62" s="1331"/>
      <c r="L62" s="1356"/>
      <c r="M62" s="1338"/>
      <c r="N62" s="1338"/>
      <c r="P62" s="1333"/>
      <c r="Q62" s="1334"/>
      <c r="R62" s="1333"/>
      <c r="S62" s="1339"/>
      <c r="T62" s="1342" t="s">
        <v>180</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W62" s="783"/>
      <c r="AX62" s="783" t="str">
        <f>IF(T62="","",T62)</f>
        <v>Добавить наименование тарифа</v>
      </c>
      <c r="AY62" s="783"/>
      <c r="AZ62" s="783"/>
    </row>
    <row customHeight="1" ht="11.25">
      <c r="M63" s="1155"/>
      <c r="N63" s="1155"/>
      <c r="O63" s="533"/>
      <c r="P63" s="1155"/>
      <c r="Q63" s="1155"/>
      <c r="R63" s="1150"/>
      <c r="S63" s="1150"/>
      <c r="AV63" s="1150"/>
      <c r="AW63" s="1150"/>
      <c r="AX63" s="1150"/>
      <c r="AY63" s="1150"/>
      <c r="AZ63" s="1150"/>
    </row>
    <row customHeight="1" ht="18.75">
      <c r="O64" s="533"/>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c r="AN64" s="2088"/>
      <c r="AO64" s="2088"/>
      <c r="AP64" s="2088"/>
      <c r="AQ64" s="2088"/>
      <c r="AR64" s="2088"/>
      <c r="AS64" s="2088"/>
      <c r="AT64" s="2088"/>
      <c r="AU64" s="2088"/>
    </row>
    <row customHeight="1" ht="19.5">
      <c r="O65" s="533"/>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088"/>
      <c r="AU65" s="2088"/>
    </row>
    <row customHeight="1" ht="14.25">
      <c r="O66" s="533"/>
      <c r="T66" s="1350"/>
      <c r="U66" s="1350"/>
      <c r="V66" s="1350"/>
      <c r="W66" s="1350"/>
      <c r="X66" s="1350"/>
      <c r="Y66" s="1350"/>
      <c r="Z66" s="1350"/>
      <c r="AA66" s="1350"/>
      <c r="AB66" s="1350"/>
      <c r="AC66" s="1350"/>
      <c r="AD66" s="1350"/>
      <c r="AE66" s="1350"/>
      <c r="AF66" s="1350"/>
      <c r="AG66" s="1350"/>
      <c r="AH66" s="1350"/>
      <c r="AI66" s="1350"/>
      <c r="AJ66" s="1350"/>
      <c r="AK66" s="1350"/>
      <c r="AL66" s="1350"/>
      <c r="AM66" s="1350"/>
      <c r="AN66" s="1350"/>
      <c r="AO66" s="1350"/>
      <c r="AP66" s="1350"/>
      <c r="AQ66" s="1350"/>
      <c r="AR66" s="1350"/>
      <c r="AS66" s="1350"/>
      <c r="AT66" s="1350"/>
      <c r="AU66" s="1350"/>
    </row>
    <row customHeight="1" ht="18.75">
      <c r="O67" s="533"/>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088"/>
      <c r="AU67" s="2088"/>
    </row>
    <row customHeight="1" ht="15.75">
      <c r="O68" s="533"/>
      <c r="T68" s="2088"/>
      <c r="U68" s="2088"/>
      <c r="V68" s="2088"/>
      <c r="W68" s="2088"/>
      <c r="X68" s="2088"/>
      <c r="Y68" s="2088"/>
      <c r="Z68" s="2088"/>
      <c r="AA68" s="2088"/>
      <c r="AB68" s="2088"/>
      <c r="AC68" s="2088"/>
      <c r="AD68" s="2088"/>
      <c r="AE68" s="2088"/>
      <c r="AF68" s="2088"/>
      <c r="AG68" s="2088"/>
      <c r="AH68" s="2088"/>
      <c r="AI68" s="2088"/>
      <c r="AJ68" s="2088"/>
      <c r="AK68" s="2088"/>
      <c r="AL68" s="2088"/>
      <c r="AM68" s="2088"/>
      <c r="AN68" s="2088"/>
      <c r="AO68" s="2088"/>
      <c r="AP68" s="2088"/>
      <c r="AQ68" s="2088"/>
      <c r="AR68" s="2088"/>
      <c r="AS68" s="2088"/>
      <c r="AT68" s="2088"/>
      <c r="AU68" s="2088"/>
    </row>
    <row customHeight="1" ht="14.25">
      <c r="O69" s="533"/>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68FFA4-661F-0AB6-95E5-31ED0DFCA9E9}"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42">
        <f>INDEX(PT_DIFFERENTIATION_NUM_NTAR,MATCH(A2,PT_DIFFERENTIATION_NTAR_ID,0))</f>
      </c>
      <c r="T2" s="278" t="s">
        <v>122</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40"/>
      <c r="Q3" s="340"/>
      <c r="R3" s="341"/>
      <c r="S3" s="1442">
        <f>INDEX(PT_DIFFERENTIATION_NUM_TER,MATCH(B3,PT_DIFFERENTIATION_TER_ID,0))</f>
      </c>
      <c r="T3" s="290" t="s">
        <v>404</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405</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42">
        <f>INDEX(PT_DIFFERENTIATION_NUM_CS,MATCH(C4,PT_DIFFERENTIATION_CS_ID,0))</f>
      </c>
      <c r="T4" s="291" t="s">
        <v>488</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489</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39"/>
      <c r="R5" s="344"/>
      <c r="S5" s="1442">
        <f>$I5</f>
      </c>
      <c r="T5" s="266" t="s">
        <v>490</v>
      </c>
      <c r="U5" s="280"/>
      <c r="V5" s="2176"/>
      <c r="W5" s="2177"/>
      <c r="X5" s="2177"/>
      <c r="Y5" s="2177"/>
      <c r="Z5" s="2177"/>
      <c r="AA5" s="2177"/>
      <c r="AB5" s="2178"/>
      <c r="AC5" s="2179"/>
      <c r="AD5" s="2180"/>
      <c r="AE5" s="2180"/>
      <c r="AF5" s="2180"/>
      <c r="AG5" s="2180"/>
      <c r="AH5" s="2180"/>
      <c r="AI5" s="2180"/>
      <c r="AJ5" s="2181"/>
      <c r="AK5" s="1273" t="s">
        <v>491</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413</v>
      </c>
      <c r="P6" s="2093"/>
      <c r="Q6" s="2093">
        <v>1</v>
      </c>
      <c r="R6" s="345"/>
      <c r="S6" s="1442">
        <f>$J6</f>
      </c>
      <c r="T6" s="267" t="s">
        <v>414</v>
      </c>
      <c r="U6" s="280"/>
      <c r="V6" s="2077"/>
      <c r="W6" s="2078"/>
      <c r="X6" s="2078"/>
      <c r="Y6" s="2078"/>
      <c r="Z6" s="2078"/>
      <c r="AA6" s="2078"/>
      <c r="AB6" s="2079"/>
      <c r="AC6" s="2077"/>
      <c r="AD6" s="2078"/>
      <c r="AE6" s="2078"/>
      <c r="AF6" s="2078"/>
      <c r="AG6" s="2078"/>
      <c r="AH6" s="2078"/>
      <c r="AI6" s="2078"/>
      <c r="AJ6" s="2079"/>
      <c r="AK6" s="1324" t="s">
        <v>492</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42">
        <f>$K7</f>
      </c>
      <c r="T7" s="1454"/>
      <c r="U7" s="280"/>
      <c r="V7" s="746"/>
      <c r="W7" s="746"/>
      <c r="X7" s="1272"/>
      <c r="Y7" s="2094"/>
      <c r="Z7" s="1963" t="s">
        <v>66</v>
      </c>
      <c r="AA7" s="2094"/>
      <c r="AB7" s="1963" t="s">
        <v>66</v>
      </c>
      <c r="AC7" s="746"/>
      <c r="AD7" s="746"/>
      <c r="AE7" s="1272"/>
      <c r="AF7" s="2094"/>
      <c r="AG7" s="1963" t="s">
        <v>66</v>
      </c>
      <c r="AH7" s="2096"/>
      <c r="AI7" s="1963" t="s">
        <v>66</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41"/>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493</v>
      </c>
      <c r="U9" s="359"/>
      <c r="V9" s="359"/>
      <c r="W9" s="359"/>
      <c r="X9" s="359"/>
      <c r="Y9" s="359"/>
      <c r="Z9" s="359"/>
      <c r="AA9" s="359"/>
      <c r="AB9" s="359"/>
      <c r="AC9" s="359"/>
      <c r="AD9" s="359"/>
      <c r="AE9" s="359"/>
      <c r="AF9" s="359"/>
      <c r="AG9" s="359"/>
      <c r="AH9" s="359"/>
      <c r="AI9" s="359"/>
      <c r="AJ9" s="359"/>
      <c r="AK9" s="1273" t="s">
        <v>494</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39"/>
      <c r="R10" s="344"/>
      <c r="S10" s="1295"/>
      <c r="T10" s="356" t="s">
        <v>419</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14.25" hidden="1">
      <c r="A11" s="1380"/>
      <c r="B11" s="1380"/>
      <c r="C11" s="1380"/>
      <c r="D11" s="1380"/>
      <c r="E11" s="2090"/>
      <c r="F11" s="2090"/>
      <c r="G11" s="2090"/>
      <c r="H11" s="2089"/>
      <c r="I11" s="1380"/>
      <c r="J11" s="1380"/>
      <c r="K11" s="1380"/>
      <c r="L11" s="1381"/>
      <c r="M11" s="1382"/>
      <c r="N11" s="1382"/>
      <c r="O11" s="533"/>
      <c r="P11" s="348"/>
      <c r="Q11" s="367"/>
      <c r="R11" s="343"/>
      <c r="S11" s="1295"/>
      <c r="T11" s="364" t="s">
        <v>495</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43"/>
      <c r="M12" s="1338"/>
      <c r="N12" s="1338"/>
      <c r="P12" s="1333"/>
      <c r="Q12" s="1334"/>
      <c r="R12" s="1333"/>
      <c r="S12" s="1339"/>
      <c r="T12" s="1342" t="s">
        <v>167</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168</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66</v>
      </c>
      <c r="AH15" s="2087"/>
      <c r="AI15" s="2086" t="s">
        <v>66</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38"/>
      <c r="M18" s="1379"/>
      <c r="N18" s="1379"/>
      <c r="O18" s="1384" t="s">
        <v>421</v>
      </c>
      <c r="P18" s="1379"/>
      <c r="Q18" s="1388"/>
      <c r="R18" s="1388"/>
      <c r="S18" s="724"/>
      <c r="Y18" s="1384"/>
      <c r="AA18" s="1384"/>
      <c r="AB18" s="1383"/>
      <c r="AF18" s="1384"/>
      <c r="AH18" s="1384"/>
      <c r="AI18" s="1383"/>
      <c r="AL18" s="507"/>
      <c r="AM18" s="507"/>
      <c r="AN18" s="507"/>
      <c r="AO18" s="507"/>
      <c r="AP18" s="507"/>
    </row>
    <row s="1383" customFormat="1" customHeight="1" ht="14.25" hidden="1">
      <c r="L19" s="1438"/>
      <c r="M19" s="1379"/>
      <c r="N19" s="1379"/>
      <c r="O19" s="1379"/>
      <c r="P19" s="1379"/>
      <c r="Q19" s="1388"/>
      <c r="R19" s="1388"/>
      <c r="S19" s="724"/>
      <c r="AB19" s="1383"/>
      <c r="AI19" s="1383"/>
      <c r="AL19" s="507"/>
      <c r="AM19" s="507"/>
      <c r="AN19" s="507"/>
      <c r="AO19" s="507"/>
      <c r="AP19" s="507"/>
    </row>
    <row s="1383" customFormat="1" customHeight="1" ht="12" hidden="1">
      <c r="L20" s="1438"/>
      <c r="M20" s="1379"/>
      <c r="N20" s="1379"/>
      <c r="O20" s="1381" t="s">
        <v>422</v>
      </c>
      <c r="P20" s="1379"/>
      <c r="Q20" s="1459"/>
      <c r="R20" s="1459"/>
      <c r="S20" s="724"/>
      <c r="T20" s="1155" t="s">
        <v>423</v>
      </c>
      <c r="Z20" s="166" t="s">
        <v>424</v>
      </c>
      <c r="AB20" s="166" t="s">
        <v>425</v>
      </c>
      <c r="AC20" s="1155" t="s">
        <v>423</v>
      </c>
      <c r="AG20" s="166" t="s">
        <v>426</v>
      </c>
      <c r="AI20" s="166" t="s">
        <v>425</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ООО "ПРОМ ИМПУЛЬС"</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Комитет по тарифам Санкт-Петербурга</v>
      </c>
      <c r="W27" s="2082"/>
      <c r="X27" s="2082"/>
      <c r="Y27" s="2082"/>
      <c r="Z27" s="2082"/>
      <c r="AA27" s="2082"/>
      <c r="AB27" s="314"/>
      <c r="AC27" s="2082" t="str">
        <f>IF(TITLE_NAME_OR_PR_CHANGE="",IF(TITLE_NAME_OR_PR="","",TITLE_NAME_OR_PR),TITLE_NAME_OR_PR_CHANGE)</f>
        <v>Комитет по тарифам Санкт-Петербурга</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427</v>
      </c>
      <c r="T28" s="2080"/>
      <c r="U28" s="1389"/>
      <c r="V28" s="2081" t="str">
        <f>IF(TITLE_DATE_PR_CHANGE="",IF(TITLE_DATE_PR="","",TITLE_DATE_PR),TITLE_DATE_PR_CHANGE)</f>
        <v>45268.58207175926</v>
      </c>
      <c r="W28" s="2081"/>
      <c r="X28" s="2081"/>
      <c r="Y28" s="2081"/>
      <c r="Z28" s="2081"/>
      <c r="AA28" s="2081"/>
      <c r="AB28" s="314"/>
      <c r="AC28" s="2081" t="str">
        <f>IF(TITLE_DATE_PR_CHANGE="",IF(TITLE_DATE_PR="","",TITLE_DATE_PR),TITLE_DATE_PR_CHANGE)</f>
        <v>45268.58207175926</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428</v>
      </c>
      <c r="T29" s="2080"/>
      <c r="U29" s="1389"/>
      <c r="V29" s="2082" t="str">
        <f>IF(TITLE_NUMBER_PR_CHANGE="",IF(TITLE_NUMBER_PR="","",TITLE_NUMBER_PR),TITLE_NUMBER_PR_CHANGE)</f>
        <v>237-р</v>
      </c>
      <c r="W29" s="2082"/>
      <c r="X29" s="2082"/>
      <c r="Y29" s="2082"/>
      <c r="Z29" s="2082"/>
      <c r="AA29" s="2082"/>
      <c r="AB29" s="314"/>
      <c r="AC29" s="2082" t="str">
        <f>IF(TITLE_NUMBER_PR_CHANGE="",IF(TITLE_NUMBER_PR="","",TITLE_NUMBER_PR),TITLE_NUMBER_PR_CHANGE)</f>
        <v>237-р</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https://www.gov.spb.ru/gov/otrasl/energ_kom/inform_/standarty-raskrytiya-informacii-komitetom/teplo/</v>
      </c>
      <c r="W30" s="2082"/>
      <c r="X30" s="2082"/>
      <c r="Y30" s="2082"/>
      <c r="Z30" s="2082"/>
      <c r="AA30" s="2082"/>
      <c r="AB30" s="314"/>
      <c r="AC30" s="2082" t="str">
        <f>IF(TITLE_IST_PUB_CHANGE="",IF(TITLE_IST_PUB="","",TITLE_IST_PUB),TITLE_IST_PUB_CHANGE)</f>
        <v>https://www.gov.spb.ru/gov/otrasl/energ_kom/inform_/standarty-raskrytiya-informacii-komitetom/teplo/</v>
      </c>
      <c r="AD30" s="2082"/>
      <c r="AE30" s="2082"/>
      <c r="AF30" s="2082"/>
      <c r="AG30" s="2082"/>
      <c r="AH30" s="2082"/>
      <c r="AI30" s="314"/>
      <c r="AJ30" s="314"/>
      <c r="AK30" s="261"/>
      <c r="AL30" s="360"/>
      <c r="AM30" s="360"/>
      <c r="AN30" s="360"/>
      <c r="AO30" s="360"/>
      <c r="AP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hidden="1">
      <c r="A32" s="1385"/>
      <c r="B32" s="1385"/>
      <c r="C32" s="1385"/>
      <c r="D32" s="1385"/>
      <c r="E32" s="1385"/>
      <c r="F32" s="1385"/>
      <c r="G32" s="1385"/>
      <c r="H32" s="1385"/>
      <c r="I32" s="1385"/>
      <c r="J32" s="1385"/>
      <c r="K32" s="1385"/>
      <c r="L32" s="1386"/>
      <c r="M32" s="1385"/>
      <c r="N32" s="1385"/>
      <c r="O32" s="1385"/>
      <c r="S32" s="2080" t="s">
        <v>429</v>
      </c>
      <c r="T32" s="2080"/>
      <c r="U32" s="1389"/>
      <c r="V32" s="2081" t="str">
        <f>IF(TITLE_DATE_PR_CHANGE="",IF(TITLE_DATE_PR="","",TITLE_DATE_PR),TITLE_DATE_PR_CHANGE)</f>
        <v>45268.58207175926</v>
      </c>
      <c r="W32" s="2081"/>
      <c r="X32" s="2081"/>
      <c r="Y32" s="2081"/>
      <c r="Z32" s="2081"/>
      <c r="AA32" s="2081"/>
      <c r="AB32" s="314"/>
      <c r="AC32" s="2081" t="str">
        <f>IF(TITLE_DATE_PR_CHANGE="",IF(TITLE_DATE_PR="","",TITLE_DATE_PR),TITLE_DATE_PR_CHANGE)</f>
        <v>45268.58207175926</v>
      </c>
      <c r="AD32" s="2081"/>
      <c r="AE32" s="2081"/>
      <c r="AF32" s="2081"/>
      <c r="AG32" s="2081"/>
      <c r="AH32" s="2081"/>
      <c r="AI32" s="314"/>
      <c r="AJ32" s="314"/>
      <c r="AK32" s="261"/>
      <c r="AL32" s="360"/>
      <c r="AM32" s="360"/>
      <c r="AN32" s="360"/>
      <c r="AO32" s="360"/>
      <c r="AP32" s="360"/>
    </row>
    <row s="1877" customFormat="1" customHeight="1" ht="18.75" hidden="1">
      <c r="A33" s="1385"/>
      <c r="B33" s="1385"/>
      <c r="C33" s="1385"/>
      <c r="D33" s="1385"/>
      <c r="E33" s="1385"/>
      <c r="F33" s="1385"/>
      <c r="G33" s="1385"/>
      <c r="H33" s="1385"/>
      <c r="I33" s="1385"/>
      <c r="J33" s="1385"/>
      <c r="K33" s="1385"/>
      <c r="L33" s="1386"/>
      <c r="M33" s="1385"/>
      <c r="N33" s="1385"/>
      <c r="O33" s="1385"/>
      <c r="S33" s="2080" t="s">
        <v>430</v>
      </c>
      <c r="T33" s="2080"/>
      <c r="U33" s="1389"/>
      <c r="V33" s="2082" t="str">
        <f>IF(TITLE_NUMBER_PR_CHANGE="",IF(TITLE_NUMBER_PR="","",TITLE_NUMBER_PR),TITLE_NUMBER_PR_CHANGE)</f>
        <v>237-р</v>
      </c>
      <c r="W33" s="2082"/>
      <c r="X33" s="2082"/>
      <c r="Y33" s="2082"/>
      <c r="Z33" s="2082"/>
      <c r="AA33" s="2082"/>
      <c r="AB33" s="314"/>
      <c r="AC33" s="2082" t="str">
        <f>IF(TITLE_NUMBER_PR_CHANGE="",IF(TITLE_NUMBER_PR="","",TITLE_NUMBER_PR),TITLE_NUMBER_PR_CHANGE)</f>
        <v>237-р</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372"/>
      <c r="V34" s="314"/>
      <c r="W34" s="314"/>
      <c r="X34" s="314"/>
      <c r="Y34" s="314"/>
      <c r="Z34" s="314"/>
      <c r="AA34" s="314"/>
      <c r="AB34" s="259" t="s">
        <v>431</v>
      </c>
      <c r="AC34" s="314"/>
      <c r="AD34" s="314"/>
      <c r="AE34" s="314"/>
      <c r="AF34" s="314"/>
      <c r="AG34" s="314"/>
      <c r="AH34" s="314"/>
      <c r="AI34" s="259" t="s">
        <v>431</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305</v>
      </c>
      <c r="T36" s="1953"/>
      <c r="U36" s="1953"/>
      <c r="V36" s="1953"/>
      <c r="W36" s="1953"/>
      <c r="X36" s="1953"/>
      <c r="Y36" s="1953"/>
      <c r="Z36" s="1953"/>
      <c r="AA36" s="1953"/>
      <c r="AB36" s="1953"/>
      <c r="AC36" s="1953"/>
      <c r="AD36" s="1953"/>
      <c r="AE36" s="1953"/>
      <c r="AF36" s="1953"/>
      <c r="AG36" s="1953"/>
      <c r="AH36" s="1953"/>
      <c r="AI36" s="1953"/>
      <c r="AJ36" s="1953"/>
      <c r="AK36" s="1953" t="s">
        <v>306</v>
      </c>
    </row>
    <row customHeight="1" ht="14.25">
      <c r="Q37" s="368"/>
      <c r="R37" s="368"/>
      <c r="S37" s="2107" t="s">
        <v>87</v>
      </c>
      <c r="T37" s="2044" t="s">
        <v>432</v>
      </c>
      <c r="U37" s="281"/>
      <c r="V37" s="2108" t="s">
        <v>433</v>
      </c>
      <c r="W37" s="2109"/>
      <c r="X37" s="2109"/>
      <c r="Y37" s="2109"/>
      <c r="Z37" s="2109"/>
      <c r="AA37" s="2110"/>
      <c r="AB37" s="2111" t="s">
        <v>434</v>
      </c>
      <c r="AC37" s="2108" t="s">
        <v>433</v>
      </c>
      <c r="AD37" s="2109"/>
      <c r="AE37" s="2109"/>
      <c r="AF37" s="2109"/>
      <c r="AG37" s="2109"/>
      <c r="AH37" s="2110"/>
      <c r="AI37" s="2111" t="s">
        <v>435</v>
      </c>
      <c r="AJ37" s="2114" t="s">
        <v>436</v>
      </c>
      <c r="AK37" s="1953"/>
    </row>
    <row customHeight="1" ht="33.75">
      <c r="Q38" s="368"/>
      <c r="R38" s="368"/>
      <c r="S38" s="2107"/>
      <c r="T38" s="2044"/>
      <c r="U38" s="1026"/>
      <c r="V38" s="1369" t="s">
        <v>496</v>
      </c>
      <c r="W38" s="2100" t="s">
        <v>439</v>
      </c>
      <c r="X38" s="2102"/>
      <c r="Y38" s="2100" t="s">
        <v>440</v>
      </c>
      <c r="Z38" s="2101"/>
      <c r="AA38" s="2102"/>
      <c r="AB38" s="2112"/>
      <c r="AC38" s="1369" t="s">
        <v>496</v>
      </c>
      <c r="AD38" s="2100" t="s">
        <v>439</v>
      </c>
      <c r="AE38" s="2102"/>
      <c r="AF38" s="2100" t="s">
        <v>440</v>
      </c>
      <c r="AG38" s="2101"/>
      <c r="AH38" s="2102"/>
      <c r="AI38" s="2112"/>
      <c r="AJ38" s="2115"/>
      <c r="AK38" s="1953"/>
    </row>
    <row customHeight="1" ht="33.75">
      <c r="A39" s="1387"/>
      <c r="B39" s="1387" t="s">
        <v>134</v>
      </c>
      <c r="C39" s="1387" t="s">
        <v>135</v>
      </c>
      <c r="D39" s="1387" t="s">
        <v>136</v>
      </c>
      <c r="E39" s="1381" t="s">
        <v>441</v>
      </c>
      <c r="F39" s="1381" t="s">
        <v>442</v>
      </c>
      <c r="G39" s="1381" t="s">
        <v>443</v>
      </c>
      <c r="H39" s="1381"/>
      <c r="I39" s="1381" t="s">
        <v>497</v>
      </c>
      <c r="J39" s="1381" t="s">
        <v>446</v>
      </c>
      <c r="K39" s="1381" t="s">
        <v>498</v>
      </c>
      <c r="L39" s="1381" t="s">
        <v>422</v>
      </c>
      <c r="Q39" s="368"/>
      <c r="R39" s="368"/>
      <c r="S39" s="2107"/>
      <c r="T39" s="2044"/>
      <c r="U39" s="282"/>
      <c r="V39" s="1369" t="s">
        <v>499</v>
      </c>
      <c r="W39" s="1224" t="s">
        <v>500</v>
      </c>
      <c r="X39" s="1224" t="s">
        <v>501</v>
      </c>
      <c r="Y39" s="1374" t="s">
        <v>450</v>
      </c>
      <c r="Z39" s="2103" t="s">
        <v>451</v>
      </c>
      <c r="AA39" s="2104"/>
      <c r="AB39" s="2113"/>
      <c r="AC39" s="1369" t="s">
        <v>499</v>
      </c>
      <c r="AD39" s="1224" t="s">
        <v>500</v>
      </c>
      <c r="AE39" s="1224" t="s">
        <v>501</v>
      </c>
      <c r="AF39" s="1374" t="s">
        <v>450</v>
      </c>
      <c r="AG39" s="2103" t="s">
        <v>451</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108</v>
      </c>
      <c r="T40" s="1268" t="s">
        <v>109</v>
      </c>
      <c r="U40" s="1250" t="str">
        <f>OFFSET(U40,0,-1)</f>
        <v>2</v>
      </c>
      <c r="V40" s="1370">
        <f>OFFSET(V40,0,-1)+1</f>
        <v>3</v>
      </c>
      <c r="W40" s="1370">
        <f>OFFSET(W40,0,-1)+1</f>
        <v>4</v>
      </c>
      <c r="X40" s="1370">
        <f>OFFSET(X40,0,-1)+1</f>
        <v>5</v>
      </c>
      <c r="Y40" s="1370">
        <f>OFFSET(Y40,0,-1)+1</f>
        <v>6</v>
      </c>
      <c r="Z40" s="2105">
        <f>OFFSET(Z40,0,-1)+1</f>
        <v>7</v>
      </c>
      <c r="AA40" s="2105"/>
      <c r="AB40" s="1370">
        <f>OFFSET(AB40,0,-2)+1</f>
        <v>8</v>
      </c>
      <c r="AC40" s="1370">
        <f>OFFSET(AC40,0,-1)+1</f>
        <v>9</v>
      </c>
      <c r="AD40" s="1370">
        <f>OFFSET(AD40,0,-1)+1</f>
        <v>10</v>
      </c>
      <c r="AE40" s="1370">
        <f>OFFSET(AE40,0,-1)+1</f>
        <v>11</v>
      </c>
      <c r="AF40" s="1370">
        <f>OFFSET(AF40,0,-1)+1</f>
        <v>12</v>
      </c>
      <c r="AG40" s="2105">
        <f>OFFSET(AG40,0,-1)+1</f>
        <v>13</v>
      </c>
      <c r="AH40" s="2105"/>
      <c r="AI40" s="1370">
        <f>OFFSET(AI40,0,-2)+1</f>
        <v>14</v>
      </c>
      <c r="AJ40" s="1250">
        <f>OFFSET(AJ40,0,-1)</f>
        <v>14</v>
      </c>
      <c r="AK40" s="1370">
        <f>OFFSET(AK40,0,-1)+1</f>
        <v>15</v>
      </c>
      <c r="AL40" s="507"/>
      <c r="AM40" s="507"/>
      <c r="AN40" s="507"/>
      <c r="AO40" s="507"/>
      <c r="AP40" s="507"/>
    </row>
    <row customHeight="1" ht="23.25">
      <c r="A41" s="1380" t="s">
        <v>231</v>
      </c>
      <c r="B41" s="1380"/>
      <c r="C41" s="1380"/>
      <c r="D41" s="1380"/>
      <c r="E41" s="2089">
        <v>1</v>
      </c>
      <c r="F41" s="1380"/>
      <c r="G41" s="1380"/>
      <c r="H41" s="1380"/>
      <c r="I41" s="1380"/>
      <c r="J41" s="1380"/>
      <c r="K41" s="1380"/>
      <c r="L41" s="1381"/>
      <c r="M41" s="1382"/>
      <c r="N41" s="1382"/>
      <c r="O41" s="1382"/>
      <c r="P41" s="349"/>
      <c r="Q41" s="348"/>
      <c r="R41" s="343"/>
      <c r="S41" s="1375">
        <f>INDEX(PT_DIFFERENTIATION_NUM_NTAR,MATCH(A41,PT_DIFFERENTIATION_NTAR_ID,0))</f>
        <v>0</v>
      </c>
      <c r="T41" s="278" t="s">
        <v>122</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231</v>
      </c>
      <c r="B42" s="1380" t="s">
        <v>232</v>
      </c>
      <c r="C42" s="1380"/>
      <c r="D42" s="1380"/>
      <c r="E42" s="2090"/>
      <c r="F42" s="2089">
        <v>1</v>
      </c>
      <c r="G42" s="1380"/>
      <c r="H42" s="1380"/>
      <c r="I42" s="1380"/>
      <c r="J42" s="1380"/>
      <c r="K42" s="1380"/>
      <c r="L42" s="1381"/>
      <c r="M42" s="1382"/>
      <c r="N42" s="1382"/>
      <c r="O42" s="1382"/>
      <c r="P42" s="1373"/>
      <c r="Q42" s="340"/>
      <c r="R42" s="341"/>
      <c r="S42" s="1375" t="str">
        <f>INDEX(PT_DIFFERENTIATION_NUM_TER,MATCH(B42,PT_DIFFERENTIATION_TER_ID,0))</f>
        <v>.</v>
      </c>
      <c r="T42" s="290" t="s">
        <v>404</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405</v>
      </c>
      <c r="AM42" s="496"/>
      <c r="AN42" s="496" t="str">
        <f>IF(T42="","",T42)</f>
        <v>Территория действия тарифа</v>
      </c>
      <c r="AO42" s="496"/>
      <c r="AP42" s="496"/>
    </row>
    <row customHeight="1" ht="23.25">
      <c r="A43" s="1380" t="s">
        <v>231</v>
      </c>
      <c r="B43" s="1380" t="s">
        <v>232</v>
      </c>
      <c r="C43" s="1380" t="s">
        <v>233</v>
      </c>
      <c r="D43" s="1380"/>
      <c r="E43" s="2090"/>
      <c r="F43" s="2090"/>
      <c r="G43" s="2089">
        <v>1</v>
      </c>
      <c r="H43" s="1380"/>
      <c r="I43" s="1380"/>
      <c r="J43" s="1380"/>
      <c r="K43" s="1380"/>
      <c r="L43" s="1381"/>
      <c r="M43" s="1382"/>
      <c r="N43" s="1382"/>
      <c r="O43" s="1382"/>
      <c r="P43" s="342"/>
      <c r="Q43" s="340"/>
      <c r="R43" s="341"/>
      <c r="S43" s="1375" t="str">
        <f>INDEX(PT_DIFFERENTIATION_NUM_CS,MATCH(C43,PT_DIFFERENTIATION_CS_ID,0))</f>
        <v>..</v>
      </c>
      <c r="T43" s="291" t="s">
        <v>488</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489</v>
      </c>
      <c r="AM43" s="496"/>
      <c r="AN43" s="496" t="str">
        <f>IF(T43="","",T43)</f>
        <v>Наименование централизованной системы холодного водоснабжения</v>
      </c>
      <c r="AO43" s="496"/>
      <c r="AP43" s="496"/>
    </row>
    <row customHeight="1" ht="23.25">
      <c r="A44" s="1380" t="s">
        <v>231</v>
      </c>
      <c r="B44" s="1380" t="s">
        <v>232</v>
      </c>
      <c r="C44" s="1380" t="s">
        <v>233</v>
      </c>
      <c r="D44" s="1380" t="s">
        <v>502</v>
      </c>
      <c r="E44" s="2090"/>
      <c r="F44" s="2090"/>
      <c r="G44" s="2090"/>
      <c r="H44" s="2090"/>
      <c r="I44" s="2091" t="str">
        <f>S43&amp;".1"</f>
        <v>...1</v>
      </c>
      <c r="J44" s="1380"/>
      <c r="K44" s="1380"/>
      <c r="L44" s="1381"/>
      <c r="P44" s="2093">
        <v>1</v>
      </c>
      <c r="Q44" s="1371"/>
      <c r="R44" s="344"/>
      <c r="S44" s="1375" t="str">
        <f>$I44</f>
        <v>...1</v>
      </c>
      <c r="T44" s="266" t="s">
        <v>490</v>
      </c>
      <c r="U44" s="280"/>
      <c r="V44" s="2176"/>
      <c r="W44" s="2177"/>
      <c r="X44" s="2177"/>
      <c r="Y44" s="2177"/>
      <c r="Z44" s="2177"/>
      <c r="AA44" s="2177"/>
      <c r="AB44" s="2178"/>
      <c r="AC44" s="2179"/>
      <c r="AD44" s="2180"/>
      <c r="AE44" s="2180"/>
      <c r="AF44" s="2180"/>
      <c r="AG44" s="2180"/>
      <c r="AH44" s="2180"/>
      <c r="AI44" s="2180"/>
      <c r="AJ44" s="2181"/>
      <c r="AK44" s="1273" t="s">
        <v>491</v>
      </c>
      <c r="AM44" s="496"/>
      <c r="AN44" s="496" t="str">
        <f>IF(T44="","",T44)</f>
        <v>Наименование признака дифференциации</v>
      </c>
      <c r="AO44" s="496"/>
      <c r="AP44" s="496"/>
    </row>
    <row customHeight="1" ht="23.25">
      <c r="A45" s="1380" t="s">
        <v>231</v>
      </c>
      <c r="B45" s="1380" t="s">
        <v>232</v>
      </c>
      <c r="C45" s="1380" t="s">
        <v>233</v>
      </c>
      <c r="D45" s="1380" t="s">
        <v>502</v>
      </c>
      <c r="E45" s="2090"/>
      <c r="F45" s="2090"/>
      <c r="G45" s="2090"/>
      <c r="H45" s="2090"/>
      <c r="I45" s="2092"/>
      <c r="J45" s="2091" t="str">
        <f>I44&amp;".1"</f>
        <v>...1.1</v>
      </c>
      <c r="K45" s="1380"/>
      <c r="L45" s="1381" t="s">
        <v>413</v>
      </c>
      <c r="P45" s="2093"/>
      <c r="Q45" s="2093">
        <v>1</v>
      </c>
      <c r="R45" s="345"/>
      <c r="S45" s="1375" t="str">
        <f>$J45</f>
        <v>...1.1</v>
      </c>
      <c r="T45" s="267" t="s">
        <v>414</v>
      </c>
      <c r="U45" s="280"/>
      <c r="V45" s="2077"/>
      <c r="W45" s="2078"/>
      <c r="X45" s="2078"/>
      <c r="Y45" s="2078"/>
      <c r="Z45" s="2078"/>
      <c r="AA45" s="2078"/>
      <c r="AB45" s="2079"/>
      <c r="AC45" s="2077"/>
      <c r="AD45" s="2078"/>
      <c r="AE45" s="2078"/>
      <c r="AF45" s="2078"/>
      <c r="AG45" s="2078"/>
      <c r="AH45" s="2078"/>
      <c r="AI45" s="2078"/>
      <c r="AJ45" s="2079"/>
      <c r="AK45" s="1324" t="s">
        <v>492</v>
      </c>
      <c r="AM45" s="496"/>
      <c r="AN45" s="496" t="str">
        <f>IF(T45="","",T45)</f>
        <v>Группа потребителей</v>
      </c>
      <c r="AO45" s="496"/>
      <c r="AP45" s="496"/>
    </row>
    <row customHeight="1" ht="23.25">
      <c r="A46" s="1380" t="s">
        <v>231</v>
      </c>
      <c r="B46" s="1380" t="s">
        <v>232</v>
      </c>
      <c r="C46" s="1380" t="s">
        <v>233</v>
      </c>
      <c r="D46" s="1380" t="s">
        <v>502</v>
      </c>
      <c r="E46" s="2090"/>
      <c r="F46" s="2090"/>
      <c r="G46" s="2090"/>
      <c r="H46" s="2090"/>
      <c r="I46" s="2092"/>
      <c r="J46" s="2092"/>
      <c r="K46" s="2091" t="str">
        <f>J45&amp;".1"</f>
        <v>...1.1.1</v>
      </c>
      <c r="L46" s="1381"/>
      <c r="P46" s="2093"/>
      <c r="Q46" s="2093"/>
      <c r="R46" s="345">
        <v>1</v>
      </c>
      <c r="S46" s="1375" t="str">
        <f>$K46</f>
        <v>...1.1.1</v>
      </c>
      <c r="T46" s="1454"/>
      <c r="U46" s="280"/>
      <c r="V46" s="1377"/>
      <c r="W46" s="1377"/>
      <c r="X46" s="1378"/>
      <c r="Y46" s="2087"/>
      <c r="Z46" s="2086" t="s">
        <v>66</v>
      </c>
      <c r="AA46" s="2087"/>
      <c r="AB46" s="2086" t="s">
        <v>66</v>
      </c>
      <c r="AC46" s="746"/>
      <c r="AD46" s="746"/>
      <c r="AE46" s="1272"/>
      <c r="AF46" s="2094"/>
      <c r="AG46" s="1963" t="s">
        <v>66</v>
      </c>
      <c r="AH46" s="2096"/>
      <c r="AI46" s="1963" t="s">
        <v>56</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231</v>
      </c>
      <c r="B47" s="1380" t="s">
        <v>232</v>
      </c>
      <c r="C47" s="1380" t="s">
        <v>233</v>
      </c>
      <c r="D47" s="1380" t="s">
        <v>502</v>
      </c>
      <c r="E47" s="2090"/>
      <c r="F47" s="2090"/>
      <c r="G47" s="2090"/>
      <c r="H47" s="2090"/>
      <c r="I47" s="2092"/>
      <c r="J47" s="2092"/>
      <c r="K47" s="2091"/>
      <c r="L47" s="1381"/>
      <c r="P47" s="2093"/>
      <c r="Q47" s="2093"/>
      <c r="R47" s="345"/>
      <c r="S47" s="1376"/>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231</v>
      </c>
      <c r="B48" s="1380" t="s">
        <v>232</v>
      </c>
      <c r="C48" s="1380" t="s">
        <v>233</v>
      </c>
      <c r="D48" s="1380" t="s">
        <v>502</v>
      </c>
      <c r="E48" s="2090"/>
      <c r="F48" s="2090"/>
      <c r="G48" s="2090"/>
      <c r="H48" s="2090"/>
      <c r="I48" s="2092"/>
      <c r="J48" s="2091"/>
      <c r="K48" s="1380"/>
      <c r="L48" s="1381"/>
      <c r="P48" s="2093"/>
      <c r="Q48" s="2093"/>
      <c r="R48" s="344"/>
      <c r="S48" s="1295"/>
      <c r="T48" s="268" t="s">
        <v>493</v>
      </c>
      <c r="U48" s="359"/>
      <c r="V48" s="359"/>
      <c r="W48" s="359"/>
      <c r="X48" s="359"/>
      <c r="Y48" s="359"/>
      <c r="Z48" s="359"/>
      <c r="AA48" s="359"/>
      <c r="AB48" s="359"/>
      <c r="AC48" s="359"/>
      <c r="AD48" s="359"/>
      <c r="AE48" s="359"/>
      <c r="AF48" s="359"/>
      <c r="AG48" s="359"/>
      <c r="AH48" s="359"/>
      <c r="AI48" s="359"/>
      <c r="AJ48" s="359"/>
      <c r="AK48" s="1273" t="s">
        <v>494</v>
      </c>
      <c r="AM48" s="496"/>
      <c r="AN48" s="496" t="str">
        <f>IF(T48="","",T48)</f>
        <v>Добавить значение признака дифференциации</v>
      </c>
      <c r="AO48" s="496"/>
      <c r="AP48" s="496"/>
    </row>
    <row customHeight="1" ht="21">
      <c r="A49" s="1380" t="s">
        <v>231</v>
      </c>
      <c r="B49" s="1380" t="s">
        <v>232</v>
      </c>
      <c r="C49" s="1380" t="s">
        <v>233</v>
      </c>
      <c r="D49" s="1380" t="s">
        <v>502</v>
      </c>
      <c r="E49" s="2090"/>
      <c r="F49" s="2090"/>
      <c r="G49" s="2090"/>
      <c r="H49" s="2090"/>
      <c r="I49" s="2091"/>
      <c r="J49" s="1380"/>
      <c r="K49" s="1380"/>
      <c r="L49" s="1381"/>
      <c r="P49" s="2093"/>
      <c r="Q49" s="1371"/>
      <c r="R49" s="344"/>
      <c r="S49" s="1295"/>
      <c r="T49" s="356" t="s">
        <v>419</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231</v>
      </c>
      <c r="B50" s="1380" t="s">
        <v>232</v>
      </c>
      <c r="C50" s="1380" t="s">
        <v>233</v>
      </c>
      <c r="D50" s="1380" t="s">
        <v>502</v>
      </c>
      <c r="E50" s="2090"/>
      <c r="F50" s="2090"/>
      <c r="G50" s="2090"/>
      <c r="H50" s="2089"/>
      <c r="I50" s="1380"/>
      <c r="J50" s="1380"/>
      <c r="K50" s="1380"/>
      <c r="L50" s="1381"/>
      <c r="M50" s="1382"/>
      <c r="N50" s="1382"/>
      <c r="O50" s="533"/>
      <c r="P50" s="348"/>
      <c r="Q50" s="367"/>
      <c r="R50" s="343"/>
      <c r="S50" s="1295"/>
      <c r="T50" s="364" t="s">
        <v>495</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231</v>
      </c>
      <c r="B51" s="1360" t="s">
        <v>232</v>
      </c>
      <c r="C51" s="1331"/>
      <c r="D51" s="1331"/>
      <c r="E51" s="2090"/>
      <c r="F51" s="2089"/>
      <c r="G51" s="1331"/>
      <c r="H51" s="1331"/>
      <c r="I51" s="1331"/>
      <c r="J51" s="1331"/>
      <c r="K51" s="1331"/>
      <c r="L51" s="1443"/>
      <c r="M51" s="1338"/>
      <c r="N51" s="1338"/>
      <c r="P51" s="1333"/>
      <c r="Q51" s="1334"/>
      <c r="R51" s="1333"/>
      <c r="S51" s="1339"/>
      <c r="T51" s="1342" t="s">
        <v>167</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231</v>
      </c>
      <c r="B52" s="1360"/>
      <c r="C52" s="1360"/>
      <c r="D52" s="1360"/>
      <c r="E52" s="2089"/>
      <c r="F52" s="1360"/>
      <c r="G52" s="1360"/>
      <c r="H52" s="1360"/>
      <c r="I52" s="1360"/>
      <c r="J52" s="1360"/>
      <c r="K52" s="1360"/>
      <c r="L52" s="1363"/>
      <c r="M52" s="1338"/>
      <c r="N52" s="1338"/>
      <c r="O52" s="514"/>
      <c r="P52" s="376"/>
      <c r="Q52" s="1361"/>
      <c r="R52" s="376"/>
      <c r="S52" s="1339"/>
      <c r="T52" s="1342" t="s">
        <v>168</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43"/>
      <c r="M53" s="1338"/>
      <c r="N53" s="1338"/>
      <c r="P53" s="1333"/>
      <c r="Q53" s="1334"/>
      <c r="R53" s="1333"/>
      <c r="S53" s="1339"/>
      <c r="T53" s="1342" t="s">
        <v>180</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06F99D-D5E9-67A7-3085-FE2B4C80DF8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74">
        <f>INDEX(PT_DIFFERENTIATION_NUM_NTAR,MATCH(A2,PT_DIFFERENTIATION_NTAR_ID,0))</f>
      </c>
      <c r="T2" s="278" t="s">
        <v>122</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70"/>
      <c r="Q3" s="340"/>
      <c r="R3" s="341"/>
      <c r="S3" s="1474">
        <f>INDEX(PT_DIFFERENTIATION_NUM_TER,MATCH(B3,PT_DIFFERENTIATION_TER_ID,0))</f>
      </c>
      <c r="T3" s="290" t="s">
        <v>404</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405</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74">
        <f>INDEX(PT_DIFFERENTIATION_NUM_CS,MATCH(C4,PT_DIFFERENTIATION_CS_ID,0))</f>
      </c>
      <c r="T4" s="291" t="s">
        <v>488</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489</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67"/>
      <c r="R5" s="344"/>
      <c r="S5" s="1474">
        <f>$I5</f>
      </c>
      <c r="T5" s="266" t="s">
        <v>490</v>
      </c>
      <c r="U5" s="280"/>
      <c r="V5" s="2176"/>
      <c r="W5" s="2177"/>
      <c r="X5" s="2177"/>
      <c r="Y5" s="2177"/>
      <c r="Z5" s="2177"/>
      <c r="AA5" s="2177"/>
      <c r="AB5" s="2178"/>
      <c r="AC5" s="2179"/>
      <c r="AD5" s="2180"/>
      <c r="AE5" s="2180"/>
      <c r="AF5" s="2180"/>
      <c r="AG5" s="2180"/>
      <c r="AH5" s="2180"/>
      <c r="AI5" s="2180"/>
      <c r="AJ5" s="2181"/>
      <c r="AK5" s="1273" t="s">
        <v>491</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413</v>
      </c>
      <c r="P6" s="2093"/>
      <c r="Q6" s="2093">
        <v>1</v>
      </c>
      <c r="R6" s="345"/>
      <c r="S6" s="1474">
        <f>$J6</f>
      </c>
      <c r="T6" s="267" t="s">
        <v>414</v>
      </c>
      <c r="U6" s="280"/>
      <c r="V6" s="2077"/>
      <c r="W6" s="2078"/>
      <c r="X6" s="2078"/>
      <c r="Y6" s="2078"/>
      <c r="Z6" s="2078"/>
      <c r="AA6" s="2078"/>
      <c r="AB6" s="2079"/>
      <c r="AC6" s="2077"/>
      <c r="AD6" s="2078"/>
      <c r="AE6" s="2078"/>
      <c r="AF6" s="2078"/>
      <c r="AG6" s="2078"/>
      <c r="AH6" s="2078"/>
      <c r="AI6" s="2078"/>
      <c r="AJ6" s="2079"/>
      <c r="AK6" s="1324" t="s">
        <v>492</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74">
        <f>$K7</f>
      </c>
      <c r="T7" s="1454"/>
      <c r="U7" s="280"/>
      <c r="V7" s="746"/>
      <c r="W7" s="746"/>
      <c r="X7" s="1272"/>
      <c r="Y7" s="2094"/>
      <c r="Z7" s="1963" t="s">
        <v>66</v>
      </c>
      <c r="AA7" s="2094"/>
      <c r="AB7" s="1963" t="s">
        <v>66</v>
      </c>
      <c r="AC7" s="746"/>
      <c r="AD7" s="746"/>
      <c r="AE7" s="1272"/>
      <c r="AF7" s="2094"/>
      <c r="AG7" s="1963" t="s">
        <v>66</v>
      </c>
      <c r="AH7" s="2096"/>
      <c r="AI7" s="1963" t="s">
        <v>66</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73"/>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493</v>
      </c>
      <c r="U9" s="359"/>
      <c r="V9" s="359"/>
      <c r="W9" s="359"/>
      <c r="X9" s="359"/>
      <c r="Y9" s="359"/>
      <c r="Z9" s="359"/>
      <c r="AA9" s="359"/>
      <c r="AB9" s="359"/>
      <c r="AC9" s="359"/>
      <c r="AD9" s="359"/>
      <c r="AE9" s="359"/>
      <c r="AF9" s="359"/>
      <c r="AG9" s="359"/>
      <c r="AH9" s="359"/>
      <c r="AI9" s="359"/>
      <c r="AJ9" s="359"/>
      <c r="AK9" s="1273" t="s">
        <v>494</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67"/>
      <c r="R10" s="344"/>
      <c r="S10" s="1295"/>
      <c r="T10" s="356" t="s">
        <v>419</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495</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75"/>
      <c r="M12" s="1338"/>
      <c r="N12" s="1338"/>
      <c r="P12" s="1333"/>
      <c r="Q12" s="1334"/>
      <c r="R12" s="1333"/>
      <c r="S12" s="1339"/>
      <c r="T12" s="1342" t="s">
        <v>167</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168</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66</v>
      </c>
      <c r="AH15" s="2087"/>
      <c r="AI15" s="2086" t="s">
        <v>66</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64"/>
      <c r="M18" s="1379"/>
      <c r="N18" s="1379"/>
      <c r="O18" s="1384" t="s">
        <v>421</v>
      </c>
      <c r="P18" s="1379"/>
      <c r="Q18" s="1388"/>
      <c r="R18" s="1388"/>
      <c r="S18" s="724"/>
      <c r="Y18" s="1384"/>
      <c r="AA18" s="1384"/>
      <c r="AB18" s="1383"/>
      <c r="AF18" s="1384"/>
      <c r="AH18" s="1384"/>
      <c r="AI18" s="1383"/>
      <c r="AL18" s="507"/>
      <c r="AM18" s="507"/>
      <c r="AN18" s="507"/>
      <c r="AO18" s="507"/>
      <c r="AP18" s="507"/>
    </row>
    <row s="1383" customFormat="1" customHeight="1" ht="14.25" hidden="1">
      <c r="L19" s="1464"/>
      <c r="M19" s="1379"/>
      <c r="N19" s="1379"/>
      <c r="O19" s="1379"/>
      <c r="P19" s="1379"/>
      <c r="Q19" s="1388"/>
      <c r="R19" s="1388"/>
      <c r="S19" s="724"/>
      <c r="AB19" s="1383"/>
      <c r="AI19" s="1383"/>
      <c r="AL19" s="507"/>
      <c r="AM19" s="507"/>
      <c r="AN19" s="507"/>
      <c r="AO19" s="507"/>
      <c r="AP19" s="507"/>
    </row>
    <row s="1383" customFormat="1" customHeight="1" ht="12" hidden="1">
      <c r="L20" s="1464"/>
      <c r="M20" s="1379"/>
      <c r="N20" s="1379"/>
      <c r="O20" s="1381" t="s">
        <v>422</v>
      </c>
      <c r="P20" s="1379"/>
      <c r="Q20" s="1459"/>
      <c r="R20" s="1459"/>
      <c r="S20" s="724"/>
      <c r="T20" s="1155" t="s">
        <v>423</v>
      </c>
      <c r="Z20" s="166" t="s">
        <v>424</v>
      </c>
      <c r="AB20" s="166" t="s">
        <v>425</v>
      </c>
      <c r="AC20" s="1155" t="s">
        <v>423</v>
      </c>
      <c r="AG20" s="166" t="s">
        <v>426</v>
      </c>
      <c r="AI20" s="166" t="s">
        <v>425</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ООО "ПРОМ ИМПУЛЬС"</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Комитет по тарифам Санкт-Петербурга</v>
      </c>
      <c r="W27" s="2082"/>
      <c r="X27" s="2082"/>
      <c r="Y27" s="2082"/>
      <c r="Z27" s="2082"/>
      <c r="AA27" s="2082"/>
      <c r="AB27" s="314"/>
      <c r="AC27" s="2082" t="str">
        <f>IF(TITLE_NAME_OR_PR_CHANGE="",IF(TITLE_NAME_OR_PR="","",TITLE_NAME_OR_PR),TITLE_NAME_OR_PR_CHANGE)</f>
        <v>Комитет по тарифам Санкт-Петербурга</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427</v>
      </c>
      <c r="T28" s="2080"/>
      <c r="U28" s="1389"/>
      <c r="V28" s="2081" t="str">
        <f>IF(TITLE_DATE_PR_CHANGE="",IF(TITLE_DATE_PR="","",TITLE_DATE_PR),TITLE_DATE_PR_CHANGE)</f>
        <v>45268.58207175926</v>
      </c>
      <c r="W28" s="2081"/>
      <c r="X28" s="2081"/>
      <c r="Y28" s="2081"/>
      <c r="Z28" s="2081"/>
      <c r="AA28" s="2081"/>
      <c r="AB28" s="314"/>
      <c r="AC28" s="2081" t="str">
        <f>IF(TITLE_DATE_PR_CHANGE="",IF(TITLE_DATE_PR="","",TITLE_DATE_PR),TITLE_DATE_PR_CHANGE)</f>
        <v>45268.58207175926</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428</v>
      </c>
      <c r="T29" s="2080"/>
      <c r="U29" s="1389"/>
      <c r="V29" s="2082" t="str">
        <f>IF(TITLE_NUMBER_PR_CHANGE="",IF(TITLE_NUMBER_PR="","",TITLE_NUMBER_PR),TITLE_NUMBER_PR_CHANGE)</f>
        <v>237-р</v>
      </c>
      <c r="W29" s="2082"/>
      <c r="X29" s="2082"/>
      <c r="Y29" s="2082"/>
      <c r="Z29" s="2082"/>
      <c r="AA29" s="2082"/>
      <c r="AB29" s="314"/>
      <c r="AC29" s="2082" t="str">
        <f>IF(TITLE_NUMBER_PR_CHANGE="",IF(TITLE_NUMBER_PR="","",TITLE_NUMBER_PR),TITLE_NUMBER_PR_CHANGE)</f>
        <v>237-р</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https://www.gov.spb.ru/gov/otrasl/energ_kom/inform_/standarty-raskrytiya-informacii-komitetom/teplo/</v>
      </c>
      <c r="W30" s="2082"/>
      <c r="X30" s="2082"/>
      <c r="Y30" s="2082"/>
      <c r="Z30" s="2082"/>
      <c r="AA30" s="2082"/>
      <c r="AB30" s="314"/>
      <c r="AC30" s="2082" t="str">
        <f>IF(TITLE_IST_PUB_CHANGE="",IF(TITLE_IST_PUB="","",TITLE_IST_PUB),TITLE_IST_PUB_CHANGE)</f>
        <v>https://www.gov.spb.ru/gov/otrasl/energ_kom/inform_/standarty-raskrytiya-informacii-komitetom/teplo/</v>
      </c>
      <c r="AD30" s="2082"/>
      <c r="AE30" s="2082"/>
      <c r="AF30" s="2082"/>
      <c r="AG30" s="2082"/>
      <c r="AH30" s="2082"/>
      <c r="AI30" s="314"/>
      <c r="AJ30" s="314"/>
      <c r="AK30" s="261"/>
      <c r="AL30" s="360"/>
      <c r="AM30" s="360"/>
      <c r="AN30" s="360"/>
      <c r="AO30" s="360"/>
      <c r="AP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hidden="1">
      <c r="A32" s="1385"/>
      <c r="B32" s="1385"/>
      <c r="C32" s="1385"/>
      <c r="D32" s="1385"/>
      <c r="E32" s="1385"/>
      <c r="F32" s="1385"/>
      <c r="G32" s="1385"/>
      <c r="H32" s="1385"/>
      <c r="I32" s="1385"/>
      <c r="J32" s="1385"/>
      <c r="K32" s="1385"/>
      <c r="L32" s="1386"/>
      <c r="M32" s="1385"/>
      <c r="N32" s="1385"/>
      <c r="O32" s="1385"/>
      <c r="S32" s="2080" t="s">
        <v>429</v>
      </c>
      <c r="T32" s="2080"/>
      <c r="U32" s="1389"/>
      <c r="V32" s="2081" t="str">
        <f>IF(TITLE_DATE_PR_CHANGE="",IF(TITLE_DATE_PR="","",TITLE_DATE_PR),TITLE_DATE_PR_CHANGE)</f>
        <v>45268.58207175926</v>
      </c>
      <c r="W32" s="2081"/>
      <c r="X32" s="2081"/>
      <c r="Y32" s="2081"/>
      <c r="Z32" s="2081"/>
      <c r="AA32" s="2081"/>
      <c r="AB32" s="314"/>
      <c r="AC32" s="2081" t="str">
        <f>IF(TITLE_DATE_PR_CHANGE="",IF(TITLE_DATE_PR="","",TITLE_DATE_PR),TITLE_DATE_PR_CHANGE)</f>
        <v>45268.58207175926</v>
      </c>
      <c r="AD32" s="2081"/>
      <c r="AE32" s="2081"/>
      <c r="AF32" s="2081"/>
      <c r="AG32" s="2081"/>
      <c r="AH32" s="2081"/>
      <c r="AI32" s="314"/>
      <c r="AJ32" s="314"/>
      <c r="AK32" s="261"/>
      <c r="AL32" s="360"/>
      <c r="AM32" s="360"/>
      <c r="AN32" s="360"/>
      <c r="AO32" s="360"/>
      <c r="AP32" s="360"/>
    </row>
    <row s="1877" customFormat="1" customHeight="1" ht="18.75" hidden="1">
      <c r="A33" s="1385"/>
      <c r="B33" s="1385"/>
      <c r="C33" s="1385"/>
      <c r="D33" s="1385"/>
      <c r="E33" s="1385"/>
      <c r="F33" s="1385"/>
      <c r="G33" s="1385"/>
      <c r="H33" s="1385"/>
      <c r="I33" s="1385"/>
      <c r="J33" s="1385"/>
      <c r="K33" s="1385"/>
      <c r="L33" s="1386"/>
      <c r="M33" s="1385"/>
      <c r="N33" s="1385"/>
      <c r="O33" s="1385"/>
      <c r="S33" s="2080" t="s">
        <v>430</v>
      </c>
      <c r="T33" s="2080"/>
      <c r="U33" s="1389"/>
      <c r="V33" s="2082" t="str">
        <f>IF(TITLE_NUMBER_PR_CHANGE="",IF(TITLE_NUMBER_PR="","",TITLE_NUMBER_PR),TITLE_NUMBER_PR_CHANGE)</f>
        <v>237-р</v>
      </c>
      <c r="W33" s="2082"/>
      <c r="X33" s="2082"/>
      <c r="Y33" s="2082"/>
      <c r="Z33" s="2082"/>
      <c r="AA33" s="2082"/>
      <c r="AB33" s="314"/>
      <c r="AC33" s="2082" t="str">
        <f>IF(TITLE_NUMBER_PR_CHANGE="",IF(TITLE_NUMBER_PR="","",TITLE_NUMBER_PR),TITLE_NUMBER_PR_CHANGE)</f>
        <v>237-р</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471"/>
      <c r="V34" s="314"/>
      <c r="W34" s="314"/>
      <c r="X34" s="314"/>
      <c r="Y34" s="314"/>
      <c r="Z34" s="314"/>
      <c r="AA34" s="314"/>
      <c r="AB34" s="259" t="s">
        <v>431</v>
      </c>
      <c r="AC34" s="314"/>
      <c r="AD34" s="314"/>
      <c r="AE34" s="314"/>
      <c r="AF34" s="314"/>
      <c r="AG34" s="314"/>
      <c r="AH34" s="314"/>
      <c r="AI34" s="259" t="s">
        <v>431</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305</v>
      </c>
      <c r="T36" s="1953"/>
      <c r="U36" s="1953"/>
      <c r="V36" s="1953"/>
      <c r="W36" s="1953"/>
      <c r="X36" s="1953"/>
      <c r="Y36" s="1953"/>
      <c r="Z36" s="1953"/>
      <c r="AA36" s="1953"/>
      <c r="AB36" s="1953"/>
      <c r="AC36" s="1953"/>
      <c r="AD36" s="1953"/>
      <c r="AE36" s="1953"/>
      <c r="AF36" s="1953"/>
      <c r="AG36" s="1953"/>
      <c r="AH36" s="1953"/>
      <c r="AI36" s="1953"/>
      <c r="AJ36" s="1953"/>
      <c r="AK36" s="1953" t="s">
        <v>306</v>
      </c>
    </row>
    <row customHeight="1" ht="14.25">
      <c r="Q37" s="368"/>
      <c r="R37" s="368"/>
      <c r="S37" s="2107" t="s">
        <v>87</v>
      </c>
      <c r="T37" s="2044" t="s">
        <v>432</v>
      </c>
      <c r="U37" s="281"/>
      <c r="V37" s="2108" t="s">
        <v>433</v>
      </c>
      <c r="W37" s="2109"/>
      <c r="X37" s="2109"/>
      <c r="Y37" s="2109"/>
      <c r="Z37" s="2109"/>
      <c r="AA37" s="2110"/>
      <c r="AB37" s="2111" t="s">
        <v>434</v>
      </c>
      <c r="AC37" s="2108" t="s">
        <v>433</v>
      </c>
      <c r="AD37" s="2109"/>
      <c r="AE37" s="2109"/>
      <c r="AF37" s="2109"/>
      <c r="AG37" s="2109"/>
      <c r="AH37" s="2110"/>
      <c r="AI37" s="2111" t="s">
        <v>435</v>
      </c>
      <c r="AJ37" s="2114" t="s">
        <v>436</v>
      </c>
      <c r="AK37" s="1953"/>
    </row>
    <row customHeight="1" ht="33.75">
      <c r="Q38" s="368"/>
      <c r="R38" s="368"/>
      <c r="S38" s="2107"/>
      <c r="T38" s="2044"/>
      <c r="U38" s="1026"/>
      <c r="V38" s="1469" t="s">
        <v>496</v>
      </c>
      <c r="W38" s="2100" t="s">
        <v>439</v>
      </c>
      <c r="X38" s="2102"/>
      <c r="Y38" s="2100" t="s">
        <v>440</v>
      </c>
      <c r="Z38" s="2101"/>
      <c r="AA38" s="2102"/>
      <c r="AB38" s="2112"/>
      <c r="AC38" s="1469" t="s">
        <v>496</v>
      </c>
      <c r="AD38" s="2100" t="s">
        <v>439</v>
      </c>
      <c r="AE38" s="2102"/>
      <c r="AF38" s="2100" t="s">
        <v>440</v>
      </c>
      <c r="AG38" s="2101"/>
      <c r="AH38" s="2102"/>
      <c r="AI38" s="2112"/>
      <c r="AJ38" s="2115"/>
      <c r="AK38" s="1953"/>
    </row>
    <row customHeight="1" ht="33.75">
      <c r="A39" s="1387"/>
      <c r="B39" s="1387" t="s">
        <v>134</v>
      </c>
      <c r="C39" s="1387" t="s">
        <v>135</v>
      </c>
      <c r="D39" s="1387" t="s">
        <v>136</v>
      </c>
      <c r="E39" s="1381" t="s">
        <v>441</v>
      </c>
      <c r="F39" s="1381" t="s">
        <v>442</v>
      </c>
      <c r="G39" s="1381" t="s">
        <v>443</v>
      </c>
      <c r="H39" s="1381"/>
      <c r="I39" s="1381" t="s">
        <v>497</v>
      </c>
      <c r="J39" s="1381" t="s">
        <v>446</v>
      </c>
      <c r="K39" s="1381" t="s">
        <v>498</v>
      </c>
      <c r="L39" s="1381" t="s">
        <v>422</v>
      </c>
      <c r="Q39" s="368"/>
      <c r="R39" s="368"/>
      <c r="S39" s="2107"/>
      <c r="T39" s="2044"/>
      <c r="U39" s="282"/>
      <c r="V39" s="1469" t="s">
        <v>499</v>
      </c>
      <c r="W39" s="1224" t="s">
        <v>500</v>
      </c>
      <c r="X39" s="1224" t="s">
        <v>501</v>
      </c>
      <c r="Y39" s="1472" t="s">
        <v>450</v>
      </c>
      <c r="Z39" s="2103" t="s">
        <v>451</v>
      </c>
      <c r="AA39" s="2104"/>
      <c r="AB39" s="2113"/>
      <c r="AC39" s="1469" t="s">
        <v>499</v>
      </c>
      <c r="AD39" s="1224" t="s">
        <v>500</v>
      </c>
      <c r="AE39" s="1224" t="s">
        <v>501</v>
      </c>
      <c r="AF39" s="1472" t="s">
        <v>450</v>
      </c>
      <c r="AG39" s="2103" t="s">
        <v>451</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108</v>
      </c>
      <c r="T40" s="1268" t="s">
        <v>109</v>
      </c>
      <c r="U40" s="1250" t="str">
        <f>OFFSET(U40,0,-1)</f>
        <v>2</v>
      </c>
      <c r="V40" s="1468">
        <f>OFFSET(V40,0,-1)+1</f>
        <v>3</v>
      </c>
      <c r="W40" s="1468">
        <f>OFFSET(W40,0,-1)+1</f>
        <v>4</v>
      </c>
      <c r="X40" s="1468">
        <f>OFFSET(X40,0,-1)+1</f>
        <v>5</v>
      </c>
      <c r="Y40" s="1468">
        <f>OFFSET(Y40,0,-1)+1</f>
        <v>6</v>
      </c>
      <c r="Z40" s="2105">
        <f>OFFSET(Z40,0,-1)+1</f>
        <v>7</v>
      </c>
      <c r="AA40" s="2105"/>
      <c r="AB40" s="1468">
        <f>OFFSET(AB40,0,-2)+1</f>
        <v>8</v>
      </c>
      <c r="AC40" s="1468">
        <f>OFFSET(AC40,0,-1)+1</f>
        <v>9</v>
      </c>
      <c r="AD40" s="1468">
        <f>OFFSET(AD40,0,-1)+1</f>
        <v>10</v>
      </c>
      <c r="AE40" s="1468">
        <f>OFFSET(AE40,0,-1)+1</f>
        <v>11</v>
      </c>
      <c r="AF40" s="1468">
        <f>OFFSET(AF40,0,-1)+1</f>
        <v>12</v>
      </c>
      <c r="AG40" s="2105">
        <f>OFFSET(AG40,0,-1)+1</f>
        <v>13</v>
      </c>
      <c r="AH40" s="2105"/>
      <c r="AI40" s="1468">
        <f>OFFSET(AI40,0,-2)+1</f>
        <v>14</v>
      </c>
      <c r="AJ40" s="1250">
        <f>OFFSET(AJ40,0,-1)</f>
        <v>14</v>
      </c>
      <c r="AK40" s="1468">
        <f>OFFSET(AK40,0,-1)+1</f>
        <v>15</v>
      </c>
      <c r="AL40" s="507"/>
      <c r="AM40" s="507"/>
      <c r="AN40" s="507"/>
      <c r="AO40" s="507"/>
      <c r="AP40" s="507"/>
    </row>
    <row customHeight="1" ht="23.25">
      <c r="A41" s="1380" t="s">
        <v>236</v>
      </c>
      <c r="B41" s="1380"/>
      <c r="C41" s="1380"/>
      <c r="D41" s="1380"/>
      <c r="E41" s="2089">
        <v>1</v>
      </c>
      <c r="F41" s="1380"/>
      <c r="G41" s="1380"/>
      <c r="H41" s="1380"/>
      <c r="I41" s="1380"/>
      <c r="J41" s="1380"/>
      <c r="K41" s="1380"/>
      <c r="L41" s="1381"/>
      <c r="M41" s="1382"/>
      <c r="N41" s="1382"/>
      <c r="O41" s="1382"/>
      <c r="P41" s="349"/>
      <c r="Q41" s="348"/>
      <c r="R41" s="343"/>
      <c r="S41" s="1474">
        <f>INDEX(PT_DIFFERENTIATION_NUM_NTAR,MATCH(A41,PT_DIFFERENTIATION_NTAR_ID,0))</f>
        <v>0</v>
      </c>
      <c r="T41" s="278" t="s">
        <v>122</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236</v>
      </c>
      <c r="B42" s="1380" t="s">
        <v>237</v>
      </c>
      <c r="C42" s="1380"/>
      <c r="D42" s="1380"/>
      <c r="E42" s="2090"/>
      <c r="F42" s="2089">
        <v>1</v>
      </c>
      <c r="G42" s="1380"/>
      <c r="H42" s="1380"/>
      <c r="I42" s="1380"/>
      <c r="J42" s="1380"/>
      <c r="K42" s="1380"/>
      <c r="L42" s="1381"/>
      <c r="M42" s="1382"/>
      <c r="N42" s="1382"/>
      <c r="O42" s="1382"/>
      <c r="P42" s="1470"/>
      <c r="Q42" s="340"/>
      <c r="R42" s="341"/>
      <c r="S42" s="1474" t="str">
        <f>INDEX(PT_DIFFERENTIATION_NUM_TER,MATCH(B42,PT_DIFFERENTIATION_TER_ID,0))</f>
        <v>.</v>
      </c>
      <c r="T42" s="290" t="s">
        <v>404</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405</v>
      </c>
      <c r="AM42" s="496"/>
      <c r="AN42" s="496" t="str">
        <f>IF(T42="","",T42)</f>
        <v>Территория действия тарифа</v>
      </c>
      <c r="AO42" s="496"/>
      <c r="AP42" s="496"/>
    </row>
    <row customHeight="1" ht="23.25">
      <c r="A43" s="1380" t="s">
        <v>236</v>
      </c>
      <c r="B43" s="1380" t="s">
        <v>237</v>
      </c>
      <c r="C43" s="1380" t="s">
        <v>238</v>
      </c>
      <c r="D43" s="1380"/>
      <c r="E43" s="2090"/>
      <c r="F43" s="2090"/>
      <c r="G43" s="2089">
        <v>1</v>
      </c>
      <c r="H43" s="1380"/>
      <c r="I43" s="1380"/>
      <c r="J43" s="1380"/>
      <c r="K43" s="1380"/>
      <c r="L43" s="1381"/>
      <c r="M43" s="1382"/>
      <c r="N43" s="1382"/>
      <c r="O43" s="1382"/>
      <c r="P43" s="342"/>
      <c r="Q43" s="340"/>
      <c r="R43" s="341"/>
      <c r="S43" s="1474" t="str">
        <f>INDEX(PT_DIFFERENTIATION_NUM_CS,MATCH(C43,PT_DIFFERENTIATION_CS_ID,0))</f>
        <v>..</v>
      </c>
      <c r="T43" s="291" t="s">
        <v>488</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489</v>
      </c>
      <c r="AM43" s="496"/>
      <c r="AN43" s="496" t="str">
        <f>IF(T43="","",T43)</f>
        <v>Наименование централизованной системы холодного водоснабжения</v>
      </c>
      <c r="AO43" s="496"/>
      <c r="AP43" s="496"/>
    </row>
    <row customHeight="1" ht="23.25">
      <c r="A44" s="1380" t="s">
        <v>236</v>
      </c>
      <c r="B44" s="1380" t="s">
        <v>237</v>
      </c>
      <c r="C44" s="1380" t="s">
        <v>238</v>
      </c>
      <c r="D44" s="1380" t="s">
        <v>503</v>
      </c>
      <c r="E44" s="2090"/>
      <c r="F44" s="2090"/>
      <c r="G44" s="2090"/>
      <c r="H44" s="2090"/>
      <c r="I44" s="2091" t="str">
        <f>S43&amp;".1"</f>
        <v>...1</v>
      </c>
      <c r="J44" s="1380"/>
      <c r="K44" s="1380"/>
      <c r="L44" s="1381"/>
      <c r="P44" s="2093">
        <v>1</v>
      </c>
      <c r="Q44" s="1467"/>
      <c r="R44" s="344"/>
      <c r="S44" s="1474" t="str">
        <f>$I44</f>
        <v>...1</v>
      </c>
      <c r="T44" s="266" t="s">
        <v>490</v>
      </c>
      <c r="U44" s="280"/>
      <c r="V44" s="2176"/>
      <c r="W44" s="2177"/>
      <c r="X44" s="2177"/>
      <c r="Y44" s="2177"/>
      <c r="Z44" s="2177"/>
      <c r="AA44" s="2177"/>
      <c r="AB44" s="2178"/>
      <c r="AC44" s="2179"/>
      <c r="AD44" s="2180"/>
      <c r="AE44" s="2180"/>
      <c r="AF44" s="2180"/>
      <c r="AG44" s="2180"/>
      <c r="AH44" s="2180"/>
      <c r="AI44" s="2180"/>
      <c r="AJ44" s="2181"/>
      <c r="AK44" s="1273" t="s">
        <v>491</v>
      </c>
      <c r="AM44" s="496"/>
      <c r="AN44" s="496" t="str">
        <f>IF(T44="","",T44)</f>
        <v>Наименование признака дифференциации</v>
      </c>
      <c r="AO44" s="496"/>
      <c r="AP44" s="496"/>
    </row>
    <row customHeight="1" ht="23.25">
      <c r="A45" s="1380" t="s">
        <v>236</v>
      </c>
      <c r="B45" s="1380" t="s">
        <v>237</v>
      </c>
      <c r="C45" s="1380" t="s">
        <v>238</v>
      </c>
      <c r="D45" s="1380" t="s">
        <v>503</v>
      </c>
      <c r="E45" s="2090"/>
      <c r="F45" s="2090"/>
      <c r="G45" s="2090"/>
      <c r="H45" s="2090"/>
      <c r="I45" s="2092"/>
      <c r="J45" s="2091" t="str">
        <f>I44&amp;".1"</f>
        <v>...1.1</v>
      </c>
      <c r="K45" s="1380"/>
      <c r="L45" s="1381" t="s">
        <v>413</v>
      </c>
      <c r="P45" s="2093"/>
      <c r="Q45" s="2093">
        <v>1</v>
      </c>
      <c r="R45" s="345"/>
      <c r="S45" s="1474" t="str">
        <f>$J45</f>
        <v>...1.1</v>
      </c>
      <c r="T45" s="267" t="s">
        <v>414</v>
      </c>
      <c r="U45" s="280"/>
      <c r="V45" s="2077"/>
      <c r="W45" s="2078"/>
      <c r="X45" s="2078"/>
      <c r="Y45" s="2078"/>
      <c r="Z45" s="2078"/>
      <c r="AA45" s="2078"/>
      <c r="AB45" s="2079"/>
      <c r="AC45" s="2077"/>
      <c r="AD45" s="2078"/>
      <c r="AE45" s="2078"/>
      <c r="AF45" s="2078"/>
      <c r="AG45" s="2078"/>
      <c r="AH45" s="2078"/>
      <c r="AI45" s="2078"/>
      <c r="AJ45" s="2079"/>
      <c r="AK45" s="1324" t="s">
        <v>492</v>
      </c>
      <c r="AM45" s="496"/>
      <c r="AN45" s="496" t="str">
        <f>IF(T45="","",T45)</f>
        <v>Группа потребителей</v>
      </c>
      <c r="AO45" s="496"/>
      <c r="AP45" s="496"/>
    </row>
    <row customHeight="1" ht="23.25">
      <c r="A46" s="1380" t="s">
        <v>236</v>
      </c>
      <c r="B46" s="1380" t="s">
        <v>237</v>
      </c>
      <c r="C46" s="1380" t="s">
        <v>238</v>
      </c>
      <c r="D46" s="1380" t="s">
        <v>503</v>
      </c>
      <c r="E46" s="2090"/>
      <c r="F46" s="2090"/>
      <c r="G46" s="2090"/>
      <c r="H46" s="2090"/>
      <c r="I46" s="2092"/>
      <c r="J46" s="2092"/>
      <c r="K46" s="2091" t="str">
        <f>J45&amp;".1"</f>
        <v>...1.1.1</v>
      </c>
      <c r="L46" s="1381"/>
      <c r="P46" s="2093"/>
      <c r="Q46" s="2093"/>
      <c r="R46" s="345">
        <v>1</v>
      </c>
      <c r="S46" s="1474" t="str">
        <f>$K46</f>
        <v>...1.1.1</v>
      </c>
      <c r="T46" s="1454"/>
      <c r="U46" s="280"/>
      <c r="V46" s="746"/>
      <c r="W46" s="746"/>
      <c r="X46" s="1272"/>
      <c r="Y46" s="2094"/>
      <c r="Z46" s="1963" t="s">
        <v>66</v>
      </c>
      <c r="AA46" s="2094"/>
      <c r="AB46" s="1963" t="s">
        <v>66</v>
      </c>
      <c r="AC46" s="746"/>
      <c r="AD46" s="746"/>
      <c r="AE46" s="1272"/>
      <c r="AF46" s="2094"/>
      <c r="AG46" s="1963" t="s">
        <v>66</v>
      </c>
      <c r="AH46" s="2096"/>
      <c r="AI46" s="1963" t="s">
        <v>66</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236</v>
      </c>
      <c r="B47" s="1380" t="s">
        <v>237</v>
      </c>
      <c r="C47" s="1380" t="s">
        <v>238</v>
      </c>
      <c r="D47" s="1380" t="s">
        <v>503</v>
      </c>
      <c r="E47" s="2090"/>
      <c r="F47" s="2090"/>
      <c r="G47" s="2090"/>
      <c r="H47" s="2090"/>
      <c r="I47" s="2092"/>
      <c r="J47" s="2092"/>
      <c r="K47" s="2091"/>
      <c r="L47" s="1381"/>
      <c r="P47" s="2093"/>
      <c r="Q47" s="2093"/>
      <c r="R47" s="345"/>
      <c r="S47" s="1473"/>
      <c r="T47" s="280"/>
      <c r="U47" s="280"/>
      <c r="V47" s="312"/>
      <c r="W47" s="312"/>
      <c r="X47" s="316" t="str">
        <f>Y46&amp;"-"&amp;AA46</f>
        <v>-</v>
      </c>
      <c r="Y47" s="2095"/>
      <c r="Z47" s="1963"/>
      <c r="AA47" s="2095"/>
      <c r="AB47" s="1963"/>
      <c r="AC47" s="312"/>
      <c r="AD47" s="312"/>
      <c r="AE47" s="316" t="str">
        <f>AF46&amp;"-"&amp;AH46</f>
        <v>-</v>
      </c>
      <c r="AF47" s="2095"/>
      <c r="AG47" s="1963"/>
      <c r="AH47" s="2097"/>
      <c r="AI47" s="1963"/>
      <c r="AJ47" s="1456"/>
      <c r="AK47" s="2182"/>
      <c r="AM47" s="496"/>
      <c r="AN47" s="496" t="str">
        <f>IF(T47="","",T47)</f>
        <v/>
      </c>
      <c r="AO47" s="496"/>
      <c r="AP47" s="496"/>
    </row>
    <row customHeight="1" ht="21">
      <c r="A48" s="1380" t="s">
        <v>236</v>
      </c>
      <c r="B48" s="1380" t="s">
        <v>237</v>
      </c>
      <c r="C48" s="1380" t="s">
        <v>238</v>
      </c>
      <c r="D48" s="1380" t="s">
        <v>503</v>
      </c>
      <c r="E48" s="2090"/>
      <c r="F48" s="2090"/>
      <c r="G48" s="2090"/>
      <c r="H48" s="2090"/>
      <c r="I48" s="2092"/>
      <c r="J48" s="2091"/>
      <c r="K48" s="1380"/>
      <c r="L48" s="1381"/>
      <c r="P48" s="2093"/>
      <c r="Q48" s="2093"/>
      <c r="R48" s="344"/>
      <c r="S48" s="1295"/>
      <c r="T48" s="268" t="s">
        <v>493</v>
      </c>
      <c r="U48" s="359"/>
      <c r="V48" s="359"/>
      <c r="W48" s="359"/>
      <c r="X48" s="359"/>
      <c r="Y48" s="359"/>
      <c r="Z48" s="359"/>
      <c r="AA48" s="359"/>
      <c r="AB48" s="359"/>
      <c r="AC48" s="359"/>
      <c r="AD48" s="359"/>
      <c r="AE48" s="359"/>
      <c r="AF48" s="359"/>
      <c r="AG48" s="359"/>
      <c r="AH48" s="359"/>
      <c r="AI48" s="359"/>
      <c r="AJ48" s="359"/>
      <c r="AK48" s="1273" t="s">
        <v>494</v>
      </c>
      <c r="AM48" s="496"/>
      <c r="AN48" s="496" t="str">
        <f>IF(T48="","",T48)</f>
        <v>Добавить значение признака дифференциации</v>
      </c>
      <c r="AO48" s="496"/>
      <c r="AP48" s="496"/>
    </row>
    <row customHeight="1" ht="21">
      <c r="A49" s="1380" t="s">
        <v>236</v>
      </c>
      <c r="B49" s="1380" t="s">
        <v>237</v>
      </c>
      <c r="C49" s="1380" t="s">
        <v>238</v>
      </c>
      <c r="D49" s="1380" t="s">
        <v>503</v>
      </c>
      <c r="E49" s="2090"/>
      <c r="F49" s="2090"/>
      <c r="G49" s="2090"/>
      <c r="H49" s="2090"/>
      <c r="I49" s="2091"/>
      <c r="J49" s="1380"/>
      <c r="K49" s="1380"/>
      <c r="L49" s="1381"/>
      <c r="P49" s="2093"/>
      <c r="Q49" s="1467"/>
      <c r="R49" s="344"/>
      <c r="S49" s="1295"/>
      <c r="T49" s="356" t="s">
        <v>419</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236</v>
      </c>
      <c r="B50" s="1380" t="s">
        <v>237</v>
      </c>
      <c r="C50" s="1380" t="s">
        <v>238</v>
      </c>
      <c r="D50" s="1380" t="s">
        <v>503</v>
      </c>
      <c r="E50" s="2090"/>
      <c r="F50" s="2090"/>
      <c r="G50" s="2090"/>
      <c r="H50" s="2089"/>
      <c r="I50" s="1380"/>
      <c r="J50" s="1380"/>
      <c r="K50" s="1380"/>
      <c r="L50" s="1381"/>
      <c r="M50" s="1382"/>
      <c r="N50" s="1382"/>
      <c r="O50" s="533"/>
      <c r="P50" s="348"/>
      <c r="Q50" s="367"/>
      <c r="R50" s="343"/>
      <c r="S50" s="1295"/>
      <c r="T50" s="364" t="s">
        <v>495</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236</v>
      </c>
      <c r="B51" s="1360" t="s">
        <v>237</v>
      </c>
      <c r="C51" s="1331"/>
      <c r="D51" s="1331"/>
      <c r="E51" s="2090"/>
      <c r="F51" s="2089"/>
      <c r="G51" s="1331"/>
      <c r="H51" s="1331"/>
      <c r="I51" s="1331"/>
      <c r="J51" s="1331"/>
      <c r="K51" s="1331"/>
      <c r="L51" s="1475"/>
      <c r="M51" s="1338"/>
      <c r="N51" s="1338"/>
      <c r="P51" s="1333"/>
      <c r="Q51" s="1334"/>
      <c r="R51" s="1333"/>
      <c r="S51" s="1339"/>
      <c r="T51" s="1342" t="s">
        <v>167</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236</v>
      </c>
      <c r="B52" s="1360"/>
      <c r="C52" s="1360"/>
      <c r="D52" s="1360"/>
      <c r="E52" s="2089"/>
      <c r="F52" s="1360"/>
      <c r="G52" s="1360"/>
      <c r="H52" s="1360"/>
      <c r="I52" s="1360"/>
      <c r="J52" s="1360"/>
      <c r="K52" s="1360"/>
      <c r="L52" s="1363"/>
      <c r="M52" s="1338"/>
      <c r="N52" s="1338"/>
      <c r="O52" s="514"/>
      <c r="P52" s="376"/>
      <c r="Q52" s="1361"/>
      <c r="R52" s="376"/>
      <c r="S52" s="1339"/>
      <c r="T52" s="1342" t="s">
        <v>168</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75"/>
      <c r="M53" s="1338"/>
      <c r="N53" s="1338"/>
      <c r="P53" s="1333"/>
      <c r="Q53" s="1334"/>
      <c r="R53" s="1333"/>
      <c r="S53" s="1339"/>
      <c r="T53" s="1342" t="s">
        <v>180</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EDF138-C61D-611A-2674-96D4C3CDDA35}"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74">
        <f>INDEX(PT_DIFFERENTIATION_NUM_NTAR,MATCH(A2,PT_DIFFERENTIATION_NTAR_ID,0))</f>
      </c>
      <c r="T2" s="278" t="s">
        <v>122</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70"/>
      <c r="Q3" s="340"/>
      <c r="R3" s="341"/>
      <c r="S3" s="1474">
        <f>INDEX(PT_DIFFERENTIATION_NUM_TER,MATCH(B3,PT_DIFFERENTIATION_TER_ID,0))</f>
      </c>
      <c r="T3" s="290" t="s">
        <v>404</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405</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74">
        <f>INDEX(PT_DIFFERENTIATION_NUM_CS,MATCH(C4,PT_DIFFERENTIATION_CS_ID,0))</f>
      </c>
      <c r="T4" s="291" t="s">
        <v>488</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489</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67"/>
      <c r="R5" s="344"/>
      <c r="S5" s="1474">
        <f>$I5</f>
      </c>
      <c r="T5" s="266" t="s">
        <v>490</v>
      </c>
      <c r="U5" s="280"/>
      <c r="V5" s="2176"/>
      <c r="W5" s="2177"/>
      <c r="X5" s="2177"/>
      <c r="Y5" s="2177"/>
      <c r="Z5" s="2177"/>
      <c r="AA5" s="2177"/>
      <c r="AB5" s="2178"/>
      <c r="AC5" s="2179"/>
      <c r="AD5" s="2180"/>
      <c r="AE5" s="2180"/>
      <c r="AF5" s="2180"/>
      <c r="AG5" s="2180"/>
      <c r="AH5" s="2180"/>
      <c r="AI5" s="2180"/>
      <c r="AJ5" s="2181"/>
      <c r="AK5" s="1273" t="s">
        <v>491</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413</v>
      </c>
      <c r="P6" s="2093"/>
      <c r="Q6" s="2093">
        <v>1</v>
      </c>
      <c r="R6" s="345"/>
      <c r="S6" s="1474">
        <f>$J6</f>
      </c>
      <c r="T6" s="267" t="s">
        <v>414</v>
      </c>
      <c r="U6" s="280"/>
      <c r="V6" s="2077"/>
      <c r="W6" s="2078"/>
      <c r="X6" s="2078"/>
      <c r="Y6" s="2078"/>
      <c r="Z6" s="2078"/>
      <c r="AA6" s="2078"/>
      <c r="AB6" s="2079"/>
      <c r="AC6" s="2077"/>
      <c r="AD6" s="2078"/>
      <c r="AE6" s="2078"/>
      <c r="AF6" s="2078"/>
      <c r="AG6" s="2078"/>
      <c r="AH6" s="2078"/>
      <c r="AI6" s="2078"/>
      <c r="AJ6" s="2079"/>
      <c r="AK6" s="1324" t="s">
        <v>492</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74">
        <f>$K7</f>
      </c>
      <c r="T7" s="1454"/>
      <c r="U7" s="280"/>
      <c r="V7" s="746"/>
      <c r="W7" s="746"/>
      <c r="X7" s="1272"/>
      <c r="Y7" s="2094"/>
      <c r="Z7" s="1963" t="s">
        <v>66</v>
      </c>
      <c r="AA7" s="2094"/>
      <c r="AB7" s="1963" t="s">
        <v>66</v>
      </c>
      <c r="AC7" s="746"/>
      <c r="AD7" s="746"/>
      <c r="AE7" s="1272"/>
      <c r="AF7" s="2094"/>
      <c r="AG7" s="1963" t="s">
        <v>66</v>
      </c>
      <c r="AH7" s="2096"/>
      <c r="AI7" s="1963" t="s">
        <v>66</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73"/>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493</v>
      </c>
      <c r="U9" s="359"/>
      <c r="V9" s="359"/>
      <c r="W9" s="359"/>
      <c r="X9" s="359"/>
      <c r="Y9" s="359"/>
      <c r="Z9" s="359"/>
      <c r="AA9" s="359"/>
      <c r="AB9" s="359"/>
      <c r="AC9" s="359"/>
      <c r="AD9" s="359"/>
      <c r="AE9" s="359"/>
      <c r="AF9" s="359"/>
      <c r="AG9" s="359"/>
      <c r="AH9" s="359"/>
      <c r="AI9" s="359"/>
      <c r="AJ9" s="359"/>
      <c r="AK9" s="1273" t="s">
        <v>494</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67"/>
      <c r="R10" s="344"/>
      <c r="S10" s="1295"/>
      <c r="T10" s="356" t="s">
        <v>419</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495</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75"/>
      <c r="M12" s="1338"/>
      <c r="N12" s="1338"/>
      <c r="P12" s="1333"/>
      <c r="Q12" s="1334"/>
      <c r="R12" s="1333"/>
      <c r="S12" s="1339"/>
      <c r="T12" s="1342" t="s">
        <v>167</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168</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66</v>
      </c>
      <c r="AH15" s="2087"/>
      <c r="AI15" s="2086" t="s">
        <v>66</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64"/>
      <c r="M18" s="1379"/>
      <c r="N18" s="1379"/>
      <c r="O18" s="1384" t="s">
        <v>421</v>
      </c>
      <c r="P18" s="1379"/>
      <c r="Q18" s="1388"/>
      <c r="R18" s="1388"/>
      <c r="S18" s="724"/>
      <c r="Y18" s="1384"/>
      <c r="AA18" s="1384"/>
      <c r="AB18" s="1383"/>
      <c r="AF18" s="1384"/>
      <c r="AH18" s="1384"/>
      <c r="AI18" s="1383"/>
      <c r="AL18" s="507"/>
      <c r="AM18" s="507"/>
      <c r="AN18" s="507"/>
      <c r="AO18" s="507"/>
      <c r="AP18" s="507"/>
    </row>
    <row s="1383" customFormat="1" customHeight="1" ht="14.25" hidden="1">
      <c r="L19" s="1464"/>
      <c r="M19" s="1379"/>
      <c r="N19" s="1379"/>
      <c r="O19" s="1379"/>
      <c r="P19" s="1379"/>
      <c r="Q19" s="1388"/>
      <c r="R19" s="1388"/>
      <c r="S19" s="724"/>
      <c r="AB19" s="1383"/>
      <c r="AI19" s="1383"/>
      <c r="AL19" s="507"/>
      <c r="AM19" s="507"/>
      <c r="AN19" s="507"/>
      <c r="AO19" s="507"/>
      <c r="AP19" s="507"/>
    </row>
    <row s="1383" customFormat="1" customHeight="1" ht="12" hidden="1">
      <c r="L20" s="1464"/>
      <c r="M20" s="1379"/>
      <c r="N20" s="1379"/>
      <c r="O20" s="1381" t="s">
        <v>422</v>
      </c>
      <c r="P20" s="1379"/>
      <c r="Q20" s="1459"/>
      <c r="R20" s="1459"/>
      <c r="S20" s="724"/>
      <c r="T20" s="1155" t="s">
        <v>423</v>
      </c>
      <c r="Z20" s="166" t="s">
        <v>424</v>
      </c>
      <c r="AB20" s="166" t="s">
        <v>425</v>
      </c>
      <c r="AC20" s="1155" t="s">
        <v>423</v>
      </c>
      <c r="AG20" s="166" t="s">
        <v>426</v>
      </c>
      <c r="AI20" s="166" t="s">
        <v>425</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ООО "ПРОМ ИМПУЛЬС"</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Комитет по тарифам Санкт-Петербурга</v>
      </c>
      <c r="W27" s="2082"/>
      <c r="X27" s="2082"/>
      <c r="Y27" s="2082"/>
      <c r="Z27" s="2082"/>
      <c r="AA27" s="2082"/>
      <c r="AB27" s="314"/>
      <c r="AC27" s="2082" t="str">
        <f>IF(TITLE_NAME_OR_PR_CHANGE="",IF(TITLE_NAME_OR_PR="","",TITLE_NAME_OR_PR),TITLE_NAME_OR_PR_CHANGE)</f>
        <v>Комитет по тарифам Санкт-Петербурга</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427</v>
      </c>
      <c r="T28" s="2080"/>
      <c r="U28" s="1389"/>
      <c r="V28" s="2081" t="str">
        <f>IF(TITLE_DATE_PR_CHANGE="",IF(TITLE_DATE_PR="","",TITLE_DATE_PR),TITLE_DATE_PR_CHANGE)</f>
        <v>45268.58207175926</v>
      </c>
      <c r="W28" s="2081"/>
      <c r="X28" s="2081"/>
      <c r="Y28" s="2081"/>
      <c r="Z28" s="2081"/>
      <c r="AA28" s="2081"/>
      <c r="AB28" s="314"/>
      <c r="AC28" s="2081" t="str">
        <f>IF(TITLE_DATE_PR_CHANGE="",IF(TITLE_DATE_PR="","",TITLE_DATE_PR),TITLE_DATE_PR_CHANGE)</f>
        <v>45268.58207175926</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428</v>
      </c>
      <c r="T29" s="2080"/>
      <c r="U29" s="1389"/>
      <c r="V29" s="2082" t="str">
        <f>IF(TITLE_NUMBER_PR_CHANGE="",IF(TITLE_NUMBER_PR="","",TITLE_NUMBER_PR),TITLE_NUMBER_PR_CHANGE)</f>
        <v>237-р</v>
      </c>
      <c r="W29" s="2082"/>
      <c r="X29" s="2082"/>
      <c r="Y29" s="2082"/>
      <c r="Z29" s="2082"/>
      <c r="AA29" s="2082"/>
      <c r="AB29" s="314"/>
      <c r="AC29" s="2082" t="str">
        <f>IF(TITLE_NUMBER_PR_CHANGE="",IF(TITLE_NUMBER_PR="","",TITLE_NUMBER_PR),TITLE_NUMBER_PR_CHANGE)</f>
        <v>237-р</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https://www.gov.spb.ru/gov/otrasl/energ_kom/inform_/standarty-raskrytiya-informacii-komitetom/teplo/</v>
      </c>
      <c r="W30" s="2082"/>
      <c r="X30" s="2082"/>
      <c r="Y30" s="2082"/>
      <c r="Z30" s="2082"/>
      <c r="AA30" s="2082"/>
      <c r="AB30" s="314"/>
      <c r="AC30" s="2082" t="str">
        <f>IF(TITLE_IST_PUB_CHANGE="",IF(TITLE_IST_PUB="","",TITLE_IST_PUB),TITLE_IST_PUB_CHANGE)</f>
        <v>https://www.gov.spb.ru/gov/otrasl/energ_kom/inform_/standarty-raskrytiya-informacii-komitetom/teplo/</v>
      </c>
      <c r="AD30" s="2082"/>
      <c r="AE30" s="2082"/>
      <c r="AF30" s="2082"/>
      <c r="AG30" s="2082"/>
      <c r="AH30" s="2082"/>
      <c r="AI30" s="314"/>
      <c r="AJ30" s="314"/>
      <c r="AK30" s="261"/>
      <c r="AL30" s="360"/>
      <c r="AM30" s="360"/>
      <c r="AN30" s="360"/>
      <c r="AO30" s="360"/>
      <c r="AP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hidden="1">
      <c r="A32" s="1385"/>
      <c r="B32" s="1385"/>
      <c r="C32" s="1385"/>
      <c r="D32" s="1385"/>
      <c r="E32" s="1385"/>
      <c r="F32" s="1385"/>
      <c r="G32" s="1385"/>
      <c r="H32" s="1385"/>
      <c r="I32" s="1385"/>
      <c r="J32" s="1385"/>
      <c r="K32" s="1385"/>
      <c r="L32" s="1386"/>
      <c r="M32" s="1385"/>
      <c r="N32" s="1385"/>
      <c r="O32" s="1385"/>
      <c r="S32" s="2080" t="s">
        <v>429</v>
      </c>
      <c r="T32" s="2080"/>
      <c r="U32" s="1389"/>
      <c r="V32" s="2081" t="str">
        <f>IF(TITLE_DATE_PR_CHANGE="",IF(TITLE_DATE_PR="","",TITLE_DATE_PR),TITLE_DATE_PR_CHANGE)</f>
        <v>45268.58207175926</v>
      </c>
      <c r="W32" s="2081"/>
      <c r="X32" s="2081"/>
      <c r="Y32" s="2081"/>
      <c r="Z32" s="2081"/>
      <c r="AA32" s="2081"/>
      <c r="AB32" s="314"/>
      <c r="AC32" s="2081" t="str">
        <f>IF(TITLE_DATE_PR_CHANGE="",IF(TITLE_DATE_PR="","",TITLE_DATE_PR),TITLE_DATE_PR_CHANGE)</f>
        <v>45268.58207175926</v>
      </c>
      <c r="AD32" s="2081"/>
      <c r="AE32" s="2081"/>
      <c r="AF32" s="2081"/>
      <c r="AG32" s="2081"/>
      <c r="AH32" s="2081"/>
      <c r="AI32" s="314"/>
      <c r="AJ32" s="314"/>
      <c r="AK32" s="261"/>
      <c r="AL32" s="360"/>
      <c r="AM32" s="360"/>
      <c r="AN32" s="360"/>
      <c r="AO32" s="360"/>
      <c r="AP32" s="360"/>
    </row>
    <row s="1877" customFormat="1" customHeight="1" ht="18.75" hidden="1">
      <c r="A33" s="1385"/>
      <c r="B33" s="1385"/>
      <c r="C33" s="1385"/>
      <c r="D33" s="1385"/>
      <c r="E33" s="1385"/>
      <c r="F33" s="1385"/>
      <c r="G33" s="1385"/>
      <c r="H33" s="1385"/>
      <c r="I33" s="1385"/>
      <c r="J33" s="1385"/>
      <c r="K33" s="1385"/>
      <c r="L33" s="1386"/>
      <c r="M33" s="1385"/>
      <c r="N33" s="1385"/>
      <c r="O33" s="1385"/>
      <c r="S33" s="2080" t="s">
        <v>430</v>
      </c>
      <c r="T33" s="2080"/>
      <c r="U33" s="1389"/>
      <c r="V33" s="2082" t="str">
        <f>IF(TITLE_NUMBER_PR_CHANGE="",IF(TITLE_NUMBER_PR="","",TITLE_NUMBER_PR),TITLE_NUMBER_PR_CHANGE)</f>
        <v>237-р</v>
      </c>
      <c r="W33" s="2082"/>
      <c r="X33" s="2082"/>
      <c r="Y33" s="2082"/>
      <c r="Z33" s="2082"/>
      <c r="AA33" s="2082"/>
      <c r="AB33" s="314"/>
      <c r="AC33" s="2082" t="str">
        <f>IF(TITLE_NUMBER_PR_CHANGE="",IF(TITLE_NUMBER_PR="","",TITLE_NUMBER_PR),TITLE_NUMBER_PR_CHANGE)</f>
        <v>237-р</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471"/>
      <c r="V34" s="314"/>
      <c r="W34" s="314"/>
      <c r="X34" s="314"/>
      <c r="Y34" s="314"/>
      <c r="Z34" s="314"/>
      <c r="AA34" s="314"/>
      <c r="AB34" s="259" t="s">
        <v>431</v>
      </c>
      <c r="AC34" s="314"/>
      <c r="AD34" s="314"/>
      <c r="AE34" s="314"/>
      <c r="AF34" s="314"/>
      <c r="AG34" s="314"/>
      <c r="AH34" s="314"/>
      <c r="AI34" s="259" t="s">
        <v>431</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305</v>
      </c>
      <c r="T36" s="1953"/>
      <c r="U36" s="1953"/>
      <c r="V36" s="1953"/>
      <c r="W36" s="1953"/>
      <c r="X36" s="1953"/>
      <c r="Y36" s="1953"/>
      <c r="Z36" s="1953"/>
      <c r="AA36" s="1953"/>
      <c r="AB36" s="1953"/>
      <c r="AC36" s="1953"/>
      <c r="AD36" s="1953"/>
      <c r="AE36" s="1953"/>
      <c r="AF36" s="1953"/>
      <c r="AG36" s="1953"/>
      <c r="AH36" s="1953"/>
      <c r="AI36" s="1953"/>
      <c r="AJ36" s="1953"/>
      <c r="AK36" s="1953" t="s">
        <v>306</v>
      </c>
    </row>
    <row customHeight="1" ht="14.25">
      <c r="Q37" s="368"/>
      <c r="R37" s="368"/>
      <c r="S37" s="2107" t="s">
        <v>87</v>
      </c>
      <c r="T37" s="2044" t="s">
        <v>432</v>
      </c>
      <c r="U37" s="281"/>
      <c r="V37" s="2108" t="s">
        <v>433</v>
      </c>
      <c r="W37" s="2109"/>
      <c r="X37" s="2109"/>
      <c r="Y37" s="2109"/>
      <c r="Z37" s="2109"/>
      <c r="AA37" s="2110"/>
      <c r="AB37" s="2111" t="s">
        <v>434</v>
      </c>
      <c r="AC37" s="2108" t="s">
        <v>433</v>
      </c>
      <c r="AD37" s="2109"/>
      <c r="AE37" s="2109"/>
      <c r="AF37" s="2109"/>
      <c r="AG37" s="2109"/>
      <c r="AH37" s="2110"/>
      <c r="AI37" s="2111" t="s">
        <v>435</v>
      </c>
      <c r="AJ37" s="2114" t="s">
        <v>436</v>
      </c>
      <c r="AK37" s="1953"/>
    </row>
    <row customHeight="1" ht="33.75">
      <c r="Q38" s="368"/>
      <c r="R38" s="368"/>
      <c r="S38" s="2107"/>
      <c r="T38" s="2044"/>
      <c r="U38" s="1026"/>
      <c r="V38" s="1469" t="s">
        <v>496</v>
      </c>
      <c r="W38" s="2100" t="s">
        <v>439</v>
      </c>
      <c r="X38" s="2102"/>
      <c r="Y38" s="2100" t="s">
        <v>440</v>
      </c>
      <c r="Z38" s="2101"/>
      <c r="AA38" s="2102"/>
      <c r="AB38" s="2112"/>
      <c r="AC38" s="1469" t="s">
        <v>496</v>
      </c>
      <c r="AD38" s="2100" t="s">
        <v>439</v>
      </c>
      <c r="AE38" s="2102"/>
      <c r="AF38" s="2100" t="s">
        <v>440</v>
      </c>
      <c r="AG38" s="2101"/>
      <c r="AH38" s="2102"/>
      <c r="AI38" s="2112"/>
      <c r="AJ38" s="2115"/>
      <c r="AK38" s="1953"/>
    </row>
    <row customHeight="1" ht="33.75">
      <c r="A39" s="1387"/>
      <c r="B39" s="1387" t="s">
        <v>134</v>
      </c>
      <c r="C39" s="1387" t="s">
        <v>135</v>
      </c>
      <c r="D39" s="1387" t="s">
        <v>136</v>
      </c>
      <c r="E39" s="1381" t="s">
        <v>441</v>
      </c>
      <c r="F39" s="1381" t="s">
        <v>442</v>
      </c>
      <c r="G39" s="1381" t="s">
        <v>443</v>
      </c>
      <c r="H39" s="1381"/>
      <c r="I39" s="1381" t="s">
        <v>497</v>
      </c>
      <c r="J39" s="1381" t="s">
        <v>446</v>
      </c>
      <c r="K39" s="1381" t="s">
        <v>498</v>
      </c>
      <c r="L39" s="1381" t="s">
        <v>422</v>
      </c>
      <c r="Q39" s="368"/>
      <c r="R39" s="368"/>
      <c r="S39" s="2107"/>
      <c r="T39" s="2044"/>
      <c r="U39" s="282"/>
      <c r="V39" s="1469" t="s">
        <v>499</v>
      </c>
      <c r="W39" s="1224" t="s">
        <v>500</v>
      </c>
      <c r="X39" s="1224" t="s">
        <v>501</v>
      </c>
      <c r="Y39" s="1472" t="s">
        <v>450</v>
      </c>
      <c r="Z39" s="2103" t="s">
        <v>451</v>
      </c>
      <c r="AA39" s="2104"/>
      <c r="AB39" s="2113"/>
      <c r="AC39" s="1469" t="s">
        <v>499</v>
      </c>
      <c r="AD39" s="1224" t="s">
        <v>500</v>
      </c>
      <c r="AE39" s="1224" t="s">
        <v>501</v>
      </c>
      <c r="AF39" s="1472" t="s">
        <v>450</v>
      </c>
      <c r="AG39" s="2103" t="s">
        <v>451</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108</v>
      </c>
      <c r="T40" s="1268" t="s">
        <v>109</v>
      </c>
      <c r="U40" s="1250" t="str">
        <f>OFFSET(U40,0,-1)</f>
        <v>2</v>
      </c>
      <c r="V40" s="1468">
        <f>OFFSET(V40,0,-1)+1</f>
        <v>3</v>
      </c>
      <c r="W40" s="1468">
        <f>OFFSET(W40,0,-1)+1</f>
        <v>4</v>
      </c>
      <c r="X40" s="1468">
        <f>OFFSET(X40,0,-1)+1</f>
        <v>5</v>
      </c>
      <c r="Y40" s="1468">
        <f>OFFSET(Y40,0,-1)+1</f>
        <v>6</v>
      </c>
      <c r="Z40" s="2105">
        <f>OFFSET(Z40,0,-1)+1</f>
        <v>7</v>
      </c>
      <c r="AA40" s="2105"/>
      <c r="AB40" s="1468">
        <f>OFFSET(AB40,0,-2)+1</f>
        <v>8</v>
      </c>
      <c r="AC40" s="1468">
        <f>OFFSET(AC40,0,-1)+1</f>
        <v>9</v>
      </c>
      <c r="AD40" s="1468">
        <f>OFFSET(AD40,0,-1)+1</f>
        <v>10</v>
      </c>
      <c r="AE40" s="1468">
        <f>OFFSET(AE40,0,-1)+1</f>
        <v>11</v>
      </c>
      <c r="AF40" s="1468">
        <f>OFFSET(AF40,0,-1)+1</f>
        <v>12</v>
      </c>
      <c r="AG40" s="2105">
        <f>OFFSET(AG40,0,-1)+1</f>
        <v>13</v>
      </c>
      <c r="AH40" s="2105"/>
      <c r="AI40" s="1468">
        <f>OFFSET(AI40,0,-2)+1</f>
        <v>14</v>
      </c>
      <c r="AJ40" s="1250">
        <f>OFFSET(AJ40,0,-1)</f>
        <v>14</v>
      </c>
      <c r="AK40" s="1468">
        <f>OFFSET(AK40,0,-1)+1</f>
        <v>15</v>
      </c>
      <c r="AL40" s="507"/>
      <c r="AM40" s="507"/>
      <c r="AN40" s="507"/>
      <c r="AO40" s="507"/>
      <c r="AP40" s="507"/>
    </row>
    <row customHeight="1" ht="23.25">
      <c r="A41" s="1380" t="s">
        <v>241</v>
      </c>
      <c r="B41" s="1380"/>
      <c r="C41" s="1380"/>
      <c r="D41" s="1380"/>
      <c r="E41" s="2089">
        <v>1</v>
      </c>
      <c r="F41" s="1380"/>
      <c r="G41" s="1380"/>
      <c r="H41" s="1380"/>
      <c r="I41" s="1380"/>
      <c r="J41" s="1380"/>
      <c r="K41" s="1380"/>
      <c r="L41" s="1381"/>
      <c r="M41" s="1382"/>
      <c r="N41" s="1382"/>
      <c r="O41" s="1382"/>
      <c r="P41" s="349"/>
      <c r="Q41" s="348"/>
      <c r="R41" s="343"/>
      <c r="S41" s="1474">
        <f>INDEX(PT_DIFFERENTIATION_NUM_NTAR,MATCH(A41,PT_DIFFERENTIATION_NTAR_ID,0))</f>
        <v>0</v>
      </c>
      <c r="T41" s="278" t="s">
        <v>122</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241</v>
      </c>
      <c r="B42" s="1380" t="s">
        <v>242</v>
      </c>
      <c r="C42" s="1380"/>
      <c r="D42" s="1380"/>
      <c r="E42" s="2090"/>
      <c r="F42" s="2089">
        <v>1</v>
      </c>
      <c r="G42" s="1380"/>
      <c r="H42" s="1380"/>
      <c r="I42" s="1380"/>
      <c r="J42" s="1380"/>
      <c r="K42" s="1380"/>
      <c r="L42" s="1381"/>
      <c r="M42" s="1382"/>
      <c r="N42" s="1382"/>
      <c r="O42" s="1382"/>
      <c r="P42" s="1470"/>
      <c r="Q42" s="340"/>
      <c r="R42" s="341"/>
      <c r="S42" s="1474" t="str">
        <f>INDEX(PT_DIFFERENTIATION_NUM_TER,MATCH(B42,PT_DIFFERENTIATION_TER_ID,0))</f>
        <v>.</v>
      </c>
      <c r="T42" s="290" t="s">
        <v>404</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405</v>
      </c>
      <c r="AM42" s="496"/>
      <c r="AN42" s="496" t="str">
        <f>IF(T42="","",T42)</f>
        <v>Территория действия тарифа</v>
      </c>
      <c r="AO42" s="496"/>
      <c r="AP42" s="496"/>
    </row>
    <row customHeight="1" ht="23.25">
      <c r="A43" s="1380" t="s">
        <v>241</v>
      </c>
      <c r="B43" s="1380" t="s">
        <v>242</v>
      </c>
      <c r="C43" s="1380" t="s">
        <v>243</v>
      </c>
      <c r="D43" s="1380"/>
      <c r="E43" s="2090"/>
      <c r="F43" s="2090"/>
      <c r="G43" s="2089">
        <v>1</v>
      </c>
      <c r="H43" s="1380"/>
      <c r="I43" s="1380"/>
      <c r="J43" s="1380"/>
      <c r="K43" s="1380"/>
      <c r="L43" s="1381"/>
      <c r="M43" s="1382"/>
      <c r="N43" s="1382"/>
      <c r="O43" s="1382"/>
      <c r="P43" s="342"/>
      <c r="Q43" s="340"/>
      <c r="R43" s="341"/>
      <c r="S43" s="1474" t="str">
        <f>INDEX(PT_DIFFERENTIATION_NUM_CS,MATCH(C43,PT_DIFFERENTIATION_CS_ID,0))</f>
        <v>..</v>
      </c>
      <c r="T43" s="291" t="s">
        <v>488</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489</v>
      </c>
      <c r="AM43" s="496"/>
      <c r="AN43" s="496" t="str">
        <f>IF(T43="","",T43)</f>
        <v>Наименование централизованной системы холодного водоснабжения</v>
      </c>
      <c r="AO43" s="496"/>
      <c r="AP43" s="496"/>
    </row>
    <row customHeight="1" ht="23.25">
      <c r="A44" s="1380" t="s">
        <v>241</v>
      </c>
      <c r="B44" s="1380" t="s">
        <v>242</v>
      </c>
      <c r="C44" s="1380" t="s">
        <v>243</v>
      </c>
      <c r="D44" s="1380" t="s">
        <v>504</v>
      </c>
      <c r="E44" s="2090"/>
      <c r="F44" s="2090"/>
      <c r="G44" s="2090"/>
      <c r="H44" s="2090"/>
      <c r="I44" s="2091" t="str">
        <f>S43&amp;".1"</f>
        <v>...1</v>
      </c>
      <c r="J44" s="1380"/>
      <c r="K44" s="1380"/>
      <c r="L44" s="1381"/>
      <c r="P44" s="2093">
        <v>1</v>
      </c>
      <c r="Q44" s="1467"/>
      <c r="R44" s="344"/>
      <c r="S44" s="1474" t="str">
        <f>$I44</f>
        <v>...1</v>
      </c>
      <c r="T44" s="266" t="s">
        <v>490</v>
      </c>
      <c r="U44" s="280"/>
      <c r="V44" s="2176"/>
      <c r="W44" s="2177"/>
      <c r="X44" s="2177"/>
      <c r="Y44" s="2177"/>
      <c r="Z44" s="2177"/>
      <c r="AA44" s="2177"/>
      <c r="AB44" s="2178"/>
      <c r="AC44" s="2179"/>
      <c r="AD44" s="2180"/>
      <c r="AE44" s="2180"/>
      <c r="AF44" s="2180"/>
      <c r="AG44" s="2180"/>
      <c r="AH44" s="2180"/>
      <c r="AI44" s="2180"/>
      <c r="AJ44" s="2181"/>
      <c r="AK44" s="1273" t="s">
        <v>491</v>
      </c>
      <c r="AM44" s="496"/>
      <c r="AN44" s="496" t="str">
        <f>IF(T44="","",T44)</f>
        <v>Наименование признака дифференциации</v>
      </c>
      <c r="AO44" s="496"/>
      <c r="AP44" s="496"/>
    </row>
    <row customHeight="1" ht="23.25">
      <c r="A45" s="1380" t="s">
        <v>241</v>
      </c>
      <c r="B45" s="1380" t="s">
        <v>242</v>
      </c>
      <c r="C45" s="1380" t="s">
        <v>243</v>
      </c>
      <c r="D45" s="1380" t="s">
        <v>504</v>
      </c>
      <c r="E45" s="2090"/>
      <c r="F45" s="2090"/>
      <c r="G45" s="2090"/>
      <c r="H45" s="2090"/>
      <c r="I45" s="2092"/>
      <c r="J45" s="2091" t="str">
        <f>I44&amp;".1"</f>
        <v>...1.1</v>
      </c>
      <c r="K45" s="1380"/>
      <c r="L45" s="1381" t="s">
        <v>413</v>
      </c>
      <c r="P45" s="2093"/>
      <c r="Q45" s="2093">
        <v>1</v>
      </c>
      <c r="R45" s="345"/>
      <c r="S45" s="1474" t="str">
        <f>$J45</f>
        <v>...1.1</v>
      </c>
      <c r="T45" s="267" t="s">
        <v>414</v>
      </c>
      <c r="U45" s="280"/>
      <c r="V45" s="2077"/>
      <c r="W45" s="2078"/>
      <c r="X45" s="2078"/>
      <c r="Y45" s="2078"/>
      <c r="Z45" s="2078"/>
      <c r="AA45" s="2078"/>
      <c r="AB45" s="2079"/>
      <c r="AC45" s="2077"/>
      <c r="AD45" s="2078"/>
      <c r="AE45" s="2078"/>
      <c r="AF45" s="2078"/>
      <c r="AG45" s="2078"/>
      <c r="AH45" s="2078"/>
      <c r="AI45" s="2078"/>
      <c r="AJ45" s="2079"/>
      <c r="AK45" s="1324" t="s">
        <v>492</v>
      </c>
      <c r="AM45" s="496"/>
      <c r="AN45" s="496" t="str">
        <f>IF(T45="","",T45)</f>
        <v>Группа потребителей</v>
      </c>
      <c r="AO45" s="496"/>
      <c r="AP45" s="496"/>
    </row>
    <row customHeight="1" ht="23.25">
      <c r="A46" s="1380" t="s">
        <v>241</v>
      </c>
      <c r="B46" s="1380" t="s">
        <v>242</v>
      </c>
      <c r="C46" s="1380" t="s">
        <v>243</v>
      </c>
      <c r="D46" s="1380" t="s">
        <v>504</v>
      </c>
      <c r="E46" s="2090"/>
      <c r="F46" s="2090"/>
      <c r="G46" s="2090"/>
      <c r="H46" s="2090"/>
      <c r="I46" s="2092"/>
      <c r="J46" s="2092"/>
      <c r="K46" s="2091" t="str">
        <f>J45&amp;".1"</f>
        <v>...1.1.1</v>
      </c>
      <c r="L46" s="1381"/>
      <c r="P46" s="2093"/>
      <c r="Q46" s="2093"/>
      <c r="R46" s="345">
        <v>1</v>
      </c>
      <c r="S46" s="1474" t="str">
        <f>$K46</f>
        <v>...1.1.1</v>
      </c>
      <c r="T46" s="1454"/>
      <c r="U46" s="280"/>
      <c r="V46" s="746"/>
      <c r="W46" s="746"/>
      <c r="X46" s="1272"/>
      <c r="Y46" s="2094"/>
      <c r="Z46" s="1963" t="s">
        <v>66</v>
      </c>
      <c r="AA46" s="2094"/>
      <c r="AB46" s="1963" t="s">
        <v>66</v>
      </c>
      <c r="AC46" s="746"/>
      <c r="AD46" s="746"/>
      <c r="AE46" s="1272"/>
      <c r="AF46" s="2094"/>
      <c r="AG46" s="1963" t="s">
        <v>66</v>
      </c>
      <c r="AH46" s="2096"/>
      <c r="AI46" s="1963" t="s">
        <v>66</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241</v>
      </c>
      <c r="B47" s="1380" t="s">
        <v>242</v>
      </c>
      <c r="C47" s="1380" t="s">
        <v>243</v>
      </c>
      <c r="D47" s="1380" t="s">
        <v>504</v>
      </c>
      <c r="E47" s="2090"/>
      <c r="F47" s="2090"/>
      <c r="G47" s="2090"/>
      <c r="H47" s="2090"/>
      <c r="I47" s="2092"/>
      <c r="J47" s="2092"/>
      <c r="K47" s="2091"/>
      <c r="L47" s="1381"/>
      <c r="P47" s="2093"/>
      <c r="Q47" s="2093"/>
      <c r="R47" s="345"/>
      <c r="S47" s="1473"/>
      <c r="T47" s="280"/>
      <c r="U47" s="280"/>
      <c r="V47" s="312"/>
      <c r="W47" s="312"/>
      <c r="X47" s="316" t="str">
        <f>Y46&amp;"-"&amp;AA46</f>
        <v>-</v>
      </c>
      <c r="Y47" s="2095"/>
      <c r="Z47" s="1963"/>
      <c r="AA47" s="2095"/>
      <c r="AB47" s="1963"/>
      <c r="AC47" s="312"/>
      <c r="AD47" s="312"/>
      <c r="AE47" s="316" t="str">
        <f>AF46&amp;"-"&amp;AH46</f>
        <v>-</v>
      </c>
      <c r="AF47" s="2095"/>
      <c r="AG47" s="1963"/>
      <c r="AH47" s="2097"/>
      <c r="AI47" s="1963"/>
      <c r="AJ47" s="1456"/>
      <c r="AK47" s="2182"/>
      <c r="AM47" s="496"/>
      <c r="AN47" s="496" t="str">
        <f>IF(T47="","",T47)</f>
        <v/>
      </c>
      <c r="AO47" s="496"/>
      <c r="AP47" s="496"/>
    </row>
    <row customHeight="1" ht="21">
      <c r="A48" s="1380" t="s">
        <v>241</v>
      </c>
      <c r="B48" s="1380" t="s">
        <v>242</v>
      </c>
      <c r="C48" s="1380" t="s">
        <v>243</v>
      </c>
      <c r="D48" s="1380" t="s">
        <v>504</v>
      </c>
      <c r="E48" s="2090"/>
      <c r="F48" s="2090"/>
      <c r="G48" s="2090"/>
      <c r="H48" s="2090"/>
      <c r="I48" s="2092"/>
      <c r="J48" s="2091"/>
      <c r="K48" s="1380"/>
      <c r="L48" s="1381"/>
      <c r="P48" s="2093"/>
      <c r="Q48" s="2093"/>
      <c r="R48" s="344"/>
      <c r="S48" s="1295"/>
      <c r="T48" s="268" t="s">
        <v>493</v>
      </c>
      <c r="U48" s="359"/>
      <c r="V48" s="359"/>
      <c r="W48" s="359"/>
      <c r="X48" s="359"/>
      <c r="Y48" s="359"/>
      <c r="Z48" s="359"/>
      <c r="AA48" s="359"/>
      <c r="AB48" s="359"/>
      <c r="AC48" s="359"/>
      <c r="AD48" s="359"/>
      <c r="AE48" s="359"/>
      <c r="AF48" s="359"/>
      <c r="AG48" s="359"/>
      <c r="AH48" s="359"/>
      <c r="AI48" s="359"/>
      <c r="AJ48" s="359"/>
      <c r="AK48" s="1273" t="s">
        <v>494</v>
      </c>
      <c r="AM48" s="496"/>
      <c r="AN48" s="496" t="str">
        <f>IF(T48="","",T48)</f>
        <v>Добавить значение признака дифференциации</v>
      </c>
      <c r="AO48" s="496"/>
      <c r="AP48" s="496"/>
    </row>
    <row customHeight="1" ht="21">
      <c r="A49" s="1380" t="s">
        <v>241</v>
      </c>
      <c r="B49" s="1380" t="s">
        <v>242</v>
      </c>
      <c r="C49" s="1380" t="s">
        <v>243</v>
      </c>
      <c r="D49" s="1380" t="s">
        <v>504</v>
      </c>
      <c r="E49" s="2090"/>
      <c r="F49" s="2090"/>
      <c r="G49" s="2090"/>
      <c r="H49" s="2090"/>
      <c r="I49" s="2091"/>
      <c r="J49" s="1380"/>
      <c r="K49" s="1380"/>
      <c r="L49" s="1381"/>
      <c r="P49" s="2093"/>
      <c r="Q49" s="1467"/>
      <c r="R49" s="344"/>
      <c r="S49" s="1295"/>
      <c r="T49" s="356" t="s">
        <v>419</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241</v>
      </c>
      <c r="B50" s="1380" t="s">
        <v>242</v>
      </c>
      <c r="C50" s="1380" t="s">
        <v>243</v>
      </c>
      <c r="D50" s="1380" t="s">
        <v>504</v>
      </c>
      <c r="E50" s="2090"/>
      <c r="F50" s="2090"/>
      <c r="G50" s="2090"/>
      <c r="H50" s="2089"/>
      <c r="I50" s="1380"/>
      <c r="J50" s="1380"/>
      <c r="K50" s="1380"/>
      <c r="L50" s="1381"/>
      <c r="M50" s="1382"/>
      <c r="N50" s="1382"/>
      <c r="O50" s="533"/>
      <c r="P50" s="348"/>
      <c r="Q50" s="367"/>
      <c r="R50" s="343"/>
      <c r="S50" s="1295"/>
      <c r="T50" s="364" t="s">
        <v>495</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241</v>
      </c>
      <c r="B51" s="1360" t="s">
        <v>242</v>
      </c>
      <c r="C51" s="1331"/>
      <c r="D51" s="1331"/>
      <c r="E51" s="2090"/>
      <c r="F51" s="2089"/>
      <c r="G51" s="1331"/>
      <c r="H51" s="1331"/>
      <c r="I51" s="1331"/>
      <c r="J51" s="1331"/>
      <c r="K51" s="1331"/>
      <c r="L51" s="1475"/>
      <c r="M51" s="1338"/>
      <c r="N51" s="1338"/>
      <c r="P51" s="1333"/>
      <c r="Q51" s="1334"/>
      <c r="R51" s="1333"/>
      <c r="S51" s="1339"/>
      <c r="T51" s="1342" t="s">
        <v>167</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241</v>
      </c>
      <c r="B52" s="1360"/>
      <c r="C52" s="1360"/>
      <c r="D52" s="1360"/>
      <c r="E52" s="2089"/>
      <c r="F52" s="1360"/>
      <c r="G52" s="1360"/>
      <c r="H52" s="1360"/>
      <c r="I52" s="1360"/>
      <c r="J52" s="1360"/>
      <c r="K52" s="1360"/>
      <c r="L52" s="1363"/>
      <c r="M52" s="1338"/>
      <c r="N52" s="1338"/>
      <c r="O52" s="514"/>
      <c r="P52" s="376"/>
      <c r="Q52" s="1361"/>
      <c r="R52" s="376"/>
      <c r="S52" s="1339"/>
      <c r="T52" s="1342" t="s">
        <v>168</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75"/>
      <c r="M53" s="1338"/>
      <c r="N53" s="1338"/>
      <c r="P53" s="1333"/>
      <c r="Q53" s="1334"/>
      <c r="R53" s="1333"/>
      <c r="S53" s="1339"/>
      <c r="T53" s="1342" t="s">
        <v>180</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6283B9-30FE-980D-5762-53736B6282F7}"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74">
        <f>INDEX(PT_DIFFERENTIATION_NUM_NTAR,MATCH(A2,PT_DIFFERENTIATION_NTAR_ID,0))</f>
      </c>
      <c r="T2" s="278" t="s">
        <v>122</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70"/>
      <c r="Q3" s="340"/>
      <c r="R3" s="341"/>
      <c r="S3" s="1474">
        <f>INDEX(PT_DIFFERENTIATION_NUM_TER,MATCH(B3,PT_DIFFERENTIATION_TER_ID,0))</f>
      </c>
      <c r="T3" s="290" t="s">
        <v>404</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405</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74">
        <f>INDEX(PT_DIFFERENTIATION_NUM_CS,MATCH(C4,PT_DIFFERENTIATION_CS_ID,0))</f>
      </c>
      <c r="T4" s="291" t="s">
        <v>488</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489</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67"/>
      <c r="R5" s="344"/>
      <c r="S5" s="1474">
        <f>$I5</f>
      </c>
      <c r="T5" s="266" t="s">
        <v>490</v>
      </c>
      <c r="U5" s="280"/>
      <c r="V5" s="2176"/>
      <c r="W5" s="2177"/>
      <c r="X5" s="2177"/>
      <c r="Y5" s="2177"/>
      <c r="Z5" s="2177"/>
      <c r="AA5" s="2177"/>
      <c r="AB5" s="2178"/>
      <c r="AC5" s="2179"/>
      <c r="AD5" s="2180"/>
      <c r="AE5" s="2180"/>
      <c r="AF5" s="2180"/>
      <c r="AG5" s="2180"/>
      <c r="AH5" s="2180"/>
      <c r="AI5" s="2180"/>
      <c r="AJ5" s="2181"/>
      <c r="AK5" s="1273" t="s">
        <v>491</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413</v>
      </c>
      <c r="P6" s="2093"/>
      <c r="Q6" s="2093">
        <v>1</v>
      </c>
      <c r="R6" s="345"/>
      <c r="S6" s="1474">
        <f>$J6</f>
      </c>
      <c r="T6" s="267" t="s">
        <v>414</v>
      </c>
      <c r="U6" s="280"/>
      <c r="V6" s="2077"/>
      <c r="W6" s="2078"/>
      <c r="X6" s="2078"/>
      <c r="Y6" s="2078"/>
      <c r="Z6" s="2078"/>
      <c r="AA6" s="2078"/>
      <c r="AB6" s="2079"/>
      <c r="AC6" s="2077"/>
      <c r="AD6" s="2078"/>
      <c r="AE6" s="2078"/>
      <c r="AF6" s="2078"/>
      <c r="AG6" s="2078"/>
      <c r="AH6" s="2078"/>
      <c r="AI6" s="2078"/>
      <c r="AJ6" s="2079"/>
      <c r="AK6" s="1324" t="s">
        <v>492</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74">
        <f>$K7</f>
      </c>
      <c r="T7" s="1454"/>
      <c r="U7" s="280"/>
      <c r="V7" s="746"/>
      <c r="W7" s="746"/>
      <c r="X7" s="1272"/>
      <c r="Y7" s="2094"/>
      <c r="Z7" s="1963" t="s">
        <v>66</v>
      </c>
      <c r="AA7" s="2094"/>
      <c r="AB7" s="1963" t="s">
        <v>66</v>
      </c>
      <c r="AC7" s="746"/>
      <c r="AD7" s="746"/>
      <c r="AE7" s="1272"/>
      <c r="AF7" s="2094"/>
      <c r="AG7" s="1963" t="s">
        <v>66</v>
      </c>
      <c r="AH7" s="2096"/>
      <c r="AI7" s="1963" t="s">
        <v>66</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73"/>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493</v>
      </c>
      <c r="U9" s="359"/>
      <c r="V9" s="359"/>
      <c r="W9" s="359"/>
      <c r="X9" s="359"/>
      <c r="Y9" s="359"/>
      <c r="Z9" s="359"/>
      <c r="AA9" s="359"/>
      <c r="AB9" s="359"/>
      <c r="AC9" s="359"/>
      <c r="AD9" s="359"/>
      <c r="AE9" s="359"/>
      <c r="AF9" s="359"/>
      <c r="AG9" s="359"/>
      <c r="AH9" s="359"/>
      <c r="AI9" s="359"/>
      <c r="AJ9" s="359"/>
      <c r="AK9" s="1273" t="s">
        <v>494</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67"/>
      <c r="R10" s="344"/>
      <c r="S10" s="1295"/>
      <c r="T10" s="356" t="s">
        <v>419</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495</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75"/>
      <c r="M12" s="1338"/>
      <c r="N12" s="1338"/>
      <c r="P12" s="1333"/>
      <c r="Q12" s="1334"/>
      <c r="R12" s="1333"/>
      <c r="S12" s="1339"/>
      <c r="T12" s="1342" t="s">
        <v>167</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168</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66</v>
      </c>
      <c r="AH15" s="2087"/>
      <c r="AI15" s="2086" t="s">
        <v>66</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64"/>
      <c r="M18" s="1379"/>
      <c r="N18" s="1379"/>
      <c r="O18" s="1384" t="s">
        <v>421</v>
      </c>
      <c r="P18" s="1379"/>
      <c r="Q18" s="1388"/>
      <c r="R18" s="1388"/>
      <c r="S18" s="724"/>
      <c r="Y18" s="1384"/>
      <c r="AA18" s="1384"/>
      <c r="AB18" s="1383"/>
      <c r="AF18" s="1384"/>
      <c r="AH18" s="1384"/>
      <c r="AI18" s="1383"/>
      <c r="AL18" s="507"/>
      <c r="AM18" s="507"/>
      <c r="AN18" s="507"/>
      <c r="AO18" s="507"/>
      <c r="AP18" s="507"/>
    </row>
    <row s="1383" customFormat="1" customHeight="1" ht="14.25" hidden="1">
      <c r="L19" s="1464"/>
      <c r="M19" s="1379"/>
      <c r="N19" s="1379"/>
      <c r="O19" s="1379"/>
      <c r="P19" s="1379"/>
      <c r="Q19" s="1388"/>
      <c r="R19" s="1388"/>
      <c r="S19" s="724"/>
      <c r="AB19" s="1383"/>
      <c r="AI19" s="1383"/>
      <c r="AL19" s="507"/>
      <c r="AM19" s="507"/>
      <c r="AN19" s="507"/>
      <c r="AO19" s="507"/>
      <c r="AP19" s="507"/>
    </row>
    <row s="1383" customFormat="1" customHeight="1" ht="12" hidden="1">
      <c r="L20" s="1464"/>
      <c r="M20" s="1379"/>
      <c r="N20" s="1379"/>
      <c r="O20" s="1381" t="s">
        <v>422</v>
      </c>
      <c r="P20" s="1379"/>
      <c r="Q20" s="1459"/>
      <c r="R20" s="1459"/>
      <c r="S20" s="724"/>
      <c r="T20" s="1155" t="s">
        <v>423</v>
      </c>
      <c r="Z20" s="166" t="s">
        <v>424</v>
      </c>
      <c r="AB20" s="166" t="s">
        <v>425</v>
      </c>
      <c r="AC20" s="1155" t="s">
        <v>423</v>
      </c>
      <c r="AG20" s="166" t="s">
        <v>426</v>
      </c>
      <c r="AI20" s="166" t="s">
        <v>425</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ООО "ПРОМ ИМПУЛЬС"</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Комитет по тарифам Санкт-Петербурга</v>
      </c>
      <c r="W27" s="2082"/>
      <c r="X27" s="2082"/>
      <c r="Y27" s="2082"/>
      <c r="Z27" s="2082"/>
      <c r="AA27" s="2082"/>
      <c r="AB27" s="314"/>
      <c r="AC27" s="2082" t="str">
        <f>IF(TITLE_NAME_OR_PR_CHANGE="",IF(TITLE_NAME_OR_PR="","",TITLE_NAME_OR_PR),TITLE_NAME_OR_PR_CHANGE)</f>
        <v>Комитет по тарифам Санкт-Петербурга</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427</v>
      </c>
      <c r="T28" s="2080"/>
      <c r="U28" s="1389"/>
      <c r="V28" s="2081" t="str">
        <f>IF(TITLE_DATE_PR_CHANGE="",IF(TITLE_DATE_PR="","",TITLE_DATE_PR),TITLE_DATE_PR_CHANGE)</f>
        <v>45268.58207175926</v>
      </c>
      <c r="W28" s="2081"/>
      <c r="X28" s="2081"/>
      <c r="Y28" s="2081"/>
      <c r="Z28" s="2081"/>
      <c r="AA28" s="2081"/>
      <c r="AB28" s="314"/>
      <c r="AC28" s="2081" t="str">
        <f>IF(TITLE_DATE_PR_CHANGE="",IF(TITLE_DATE_PR="","",TITLE_DATE_PR),TITLE_DATE_PR_CHANGE)</f>
        <v>45268.58207175926</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428</v>
      </c>
      <c r="T29" s="2080"/>
      <c r="U29" s="1389"/>
      <c r="V29" s="2082" t="str">
        <f>IF(TITLE_NUMBER_PR_CHANGE="",IF(TITLE_NUMBER_PR="","",TITLE_NUMBER_PR),TITLE_NUMBER_PR_CHANGE)</f>
        <v>237-р</v>
      </c>
      <c r="W29" s="2082"/>
      <c r="X29" s="2082"/>
      <c r="Y29" s="2082"/>
      <c r="Z29" s="2082"/>
      <c r="AA29" s="2082"/>
      <c r="AB29" s="314"/>
      <c r="AC29" s="2082" t="str">
        <f>IF(TITLE_NUMBER_PR_CHANGE="",IF(TITLE_NUMBER_PR="","",TITLE_NUMBER_PR),TITLE_NUMBER_PR_CHANGE)</f>
        <v>237-р</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https://www.gov.spb.ru/gov/otrasl/energ_kom/inform_/standarty-raskrytiya-informacii-komitetom/teplo/</v>
      </c>
      <c r="W30" s="2082"/>
      <c r="X30" s="2082"/>
      <c r="Y30" s="2082"/>
      <c r="Z30" s="2082"/>
      <c r="AA30" s="2082"/>
      <c r="AB30" s="314"/>
      <c r="AC30" s="2082" t="str">
        <f>IF(TITLE_IST_PUB_CHANGE="",IF(TITLE_IST_PUB="","",TITLE_IST_PUB),TITLE_IST_PUB_CHANGE)</f>
        <v>https://www.gov.spb.ru/gov/otrasl/energ_kom/inform_/standarty-raskrytiya-informacii-komitetom/teplo/</v>
      </c>
      <c r="AD30" s="2082"/>
      <c r="AE30" s="2082"/>
      <c r="AF30" s="2082"/>
      <c r="AG30" s="2082"/>
      <c r="AH30" s="2082"/>
      <c r="AI30" s="314"/>
      <c r="AJ30" s="314"/>
      <c r="AK30" s="261"/>
      <c r="AL30" s="360"/>
      <c r="AM30" s="360"/>
      <c r="AN30" s="360"/>
      <c r="AO30" s="360"/>
      <c r="AP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hidden="1">
      <c r="A32" s="1385"/>
      <c r="B32" s="1385"/>
      <c r="C32" s="1385"/>
      <c r="D32" s="1385"/>
      <c r="E32" s="1385"/>
      <c r="F32" s="1385"/>
      <c r="G32" s="1385"/>
      <c r="H32" s="1385"/>
      <c r="I32" s="1385"/>
      <c r="J32" s="1385"/>
      <c r="K32" s="1385"/>
      <c r="L32" s="1386"/>
      <c r="M32" s="1385"/>
      <c r="N32" s="1385"/>
      <c r="O32" s="1385"/>
      <c r="S32" s="2080" t="s">
        <v>429</v>
      </c>
      <c r="T32" s="2080"/>
      <c r="U32" s="1389"/>
      <c r="V32" s="2081" t="str">
        <f>IF(TITLE_DATE_PR_CHANGE="",IF(TITLE_DATE_PR="","",TITLE_DATE_PR),TITLE_DATE_PR_CHANGE)</f>
        <v>45268.58207175926</v>
      </c>
      <c r="W32" s="2081"/>
      <c r="X32" s="2081"/>
      <c r="Y32" s="2081"/>
      <c r="Z32" s="2081"/>
      <c r="AA32" s="2081"/>
      <c r="AB32" s="314"/>
      <c r="AC32" s="2081" t="str">
        <f>IF(TITLE_DATE_PR_CHANGE="",IF(TITLE_DATE_PR="","",TITLE_DATE_PR),TITLE_DATE_PR_CHANGE)</f>
        <v>45268.58207175926</v>
      </c>
      <c r="AD32" s="2081"/>
      <c r="AE32" s="2081"/>
      <c r="AF32" s="2081"/>
      <c r="AG32" s="2081"/>
      <c r="AH32" s="2081"/>
      <c r="AI32" s="314"/>
      <c r="AJ32" s="314"/>
      <c r="AK32" s="261"/>
      <c r="AL32" s="360"/>
      <c r="AM32" s="360"/>
      <c r="AN32" s="360"/>
      <c r="AO32" s="360"/>
      <c r="AP32" s="360"/>
    </row>
    <row s="1877" customFormat="1" customHeight="1" ht="18.75" hidden="1">
      <c r="A33" s="1385"/>
      <c r="B33" s="1385"/>
      <c r="C33" s="1385"/>
      <c r="D33" s="1385"/>
      <c r="E33" s="1385"/>
      <c r="F33" s="1385"/>
      <c r="G33" s="1385"/>
      <c r="H33" s="1385"/>
      <c r="I33" s="1385"/>
      <c r="J33" s="1385"/>
      <c r="K33" s="1385"/>
      <c r="L33" s="1386"/>
      <c r="M33" s="1385"/>
      <c r="N33" s="1385"/>
      <c r="O33" s="1385"/>
      <c r="S33" s="2080" t="s">
        <v>430</v>
      </c>
      <c r="T33" s="2080"/>
      <c r="U33" s="1389"/>
      <c r="V33" s="2082" t="str">
        <f>IF(TITLE_NUMBER_PR_CHANGE="",IF(TITLE_NUMBER_PR="","",TITLE_NUMBER_PR),TITLE_NUMBER_PR_CHANGE)</f>
        <v>237-р</v>
      </c>
      <c r="W33" s="2082"/>
      <c r="X33" s="2082"/>
      <c r="Y33" s="2082"/>
      <c r="Z33" s="2082"/>
      <c r="AA33" s="2082"/>
      <c r="AB33" s="314"/>
      <c r="AC33" s="2082" t="str">
        <f>IF(TITLE_NUMBER_PR_CHANGE="",IF(TITLE_NUMBER_PR="","",TITLE_NUMBER_PR),TITLE_NUMBER_PR_CHANGE)</f>
        <v>237-р</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471"/>
      <c r="V34" s="314"/>
      <c r="W34" s="314"/>
      <c r="X34" s="314"/>
      <c r="Y34" s="314"/>
      <c r="Z34" s="314"/>
      <c r="AA34" s="314"/>
      <c r="AB34" s="259" t="s">
        <v>431</v>
      </c>
      <c r="AC34" s="314"/>
      <c r="AD34" s="314"/>
      <c r="AE34" s="314"/>
      <c r="AF34" s="314"/>
      <c r="AG34" s="314"/>
      <c r="AH34" s="314"/>
      <c r="AI34" s="259" t="s">
        <v>431</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305</v>
      </c>
      <c r="T36" s="1953"/>
      <c r="U36" s="1953"/>
      <c r="V36" s="1953"/>
      <c r="W36" s="1953"/>
      <c r="X36" s="1953"/>
      <c r="Y36" s="1953"/>
      <c r="Z36" s="1953"/>
      <c r="AA36" s="1953"/>
      <c r="AB36" s="1953"/>
      <c r="AC36" s="1953"/>
      <c r="AD36" s="1953"/>
      <c r="AE36" s="1953"/>
      <c r="AF36" s="1953"/>
      <c r="AG36" s="1953"/>
      <c r="AH36" s="1953"/>
      <c r="AI36" s="1953"/>
      <c r="AJ36" s="1953"/>
      <c r="AK36" s="1953" t="s">
        <v>306</v>
      </c>
    </row>
    <row customHeight="1" ht="14.25">
      <c r="Q37" s="368"/>
      <c r="R37" s="368"/>
      <c r="S37" s="2107" t="s">
        <v>87</v>
      </c>
      <c r="T37" s="2044" t="s">
        <v>432</v>
      </c>
      <c r="U37" s="281"/>
      <c r="V37" s="2108" t="s">
        <v>433</v>
      </c>
      <c r="W37" s="2109"/>
      <c r="X37" s="2109"/>
      <c r="Y37" s="2109"/>
      <c r="Z37" s="2109"/>
      <c r="AA37" s="2110"/>
      <c r="AB37" s="2111" t="s">
        <v>434</v>
      </c>
      <c r="AC37" s="2108" t="s">
        <v>433</v>
      </c>
      <c r="AD37" s="2109"/>
      <c r="AE37" s="2109"/>
      <c r="AF37" s="2109"/>
      <c r="AG37" s="2109"/>
      <c r="AH37" s="2110"/>
      <c r="AI37" s="2111" t="s">
        <v>435</v>
      </c>
      <c r="AJ37" s="2114" t="s">
        <v>436</v>
      </c>
      <c r="AK37" s="1953"/>
    </row>
    <row customHeight="1" ht="33.75">
      <c r="Q38" s="368"/>
      <c r="R38" s="368"/>
      <c r="S38" s="2107"/>
      <c r="T38" s="2044"/>
      <c r="U38" s="1026"/>
      <c r="V38" s="1469" t="s">
        <v>496</v>
      </c>
      <c r="W38" s="2100" t="s">
        <v>439</v>
      </c>
      <c r="X38" s="2102"/>
      <c r="Y38" s="2100" t="s">
        <v>440</v>
      </c>
      <c r="Z38" s="2101"/>
      <c r="AA38" s="2102"/>
      <c r="AB38" s="2112"/>
      <c r="AC38" s="1469" t="s">
        <v>496</v>
      </c>
      <c r="AD38" s="2100" t="s">
        <v>439</v>
      </c>
      <c r="AE38" s="2102"/>
      <c r="AF38" s="2100" t="s">
        <v>440</v>
      </c>
      <c r="AG38" s="2101"/>
      <c r="AH38" s="2102"/>
      <c r="AI38" s="2112"/>
      <c r="AJ38" s="2115"/>
      <c r="AK38" s="1953"/>
    </row>
    <row customHeight="1" ht="33.75">
      <c r="A39" s="1387"/>
      <c r="B39" s="1387" t="s">
        <v>134</v>
      </c>
      <c r="C39" s="1387" t="s">
        <v>135</v>
      </c>
      <c r="D39" s="1387" t="s">
        <v>136</v>
      </c>
      <c r="E39" s="1381" t="s">
        <v>441</v>
      </c>
      <c r="F39" s="1381" t="s">
        <v>442</v>
      </c>
      <c r="G39" s="1381" t="s">
        <v>443</v>
      </c>
      <c r="H39" s="1381"/>
      <c r="I39" s="1381" t="s">
        <v>497</v>
      </c>
      <c r="J39" s="1381" t="s">
        <v>446</v>
      </c>
      <c r="K39" s="1381" t="s">
        <v>498</v>
      </c>
      <c r="L39" s="1381" t="s">
        <v>422</v>
      </c>
      <c r="Q39" s="368"/>
      <c r="R39" s="368"/>
      <c r="S39" s="2107"/>
      <c r="T39" s="2044"/>
      <c r="U39" s="282"/>
      <c r="V39" s="1469" t="s">
        <v>499</v>
      </c>
      <c r="W39" s="1224" t="s">
        <v>500</v>
      </c>
      <c r="X39" s="1224" t="s">
        <v>501</v>
      </c>
      <c r="Y39" s="1472" t="s">
        <v>450</v>
      </c>
      <c r="Z39" s="2103" t="s">
        <v>451</v>
      </c>
      <c r="AA39" s="2104"/>
      <c r="AB39" s="2113"/>
      <c r="AC39" s="1469" t="s">
        <v>499</v>
      </c>
      <c r="AD39" s="1224" t="s">
        <v>500</v>
      </c>
      <c r="AE39" s="1224" t="s">
        <v>501</v>
      </c>
      <c r="AF39" s="1472" t="s">
        <v>450</v>
      </c>
      <c r="AG39" s="2103" t="s">
        <v>451</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108</v>
      </c>
      <c r="T40" s="1268" t="s">
        <v>109</v>
      </c>
      <c r="U40" s="1250" t="str">
        <f>OFFSET(U40,0,-1)</f>
        <v>2</v>
      </c>
      <c r="V40" s="1468">
        <f>OFFSET(V40,0,-1)+1</f>
        <v>3</v>
      </c>
      <c r="W40" s="1468">
        <f>OFFSET(W40,0,-1)+1</f>
        <v>4</v>
      </c>
      <c r="X40" s="1468">
        <f>OFFSET(X40,0,-1)+1</f>
        <v>5</v>
      </c>
      <c r="Y40" s="1468">
        <f>OFFSET(Y40,0,-1)+1</f>
        <v>6</v>
      </c>
      <c r="Z40" s="2105">
        <f>OFFSET(Z40,0,-1)+1</f>
        <v>7</v>
      </c>
      <c r="AA40" s="2105"/>
      <c r="AB40" s="1468">
        <f>OFFSET(AB40,0,-2)+1</f>
        <v>8</v>
      </c>
      <c r="AC40" s="1468">
        <f>OFFSET(AC40,0,-1)+1</f>
        <v>9</v>
      </c>
      <c r="AD40" s="1468">
        <f>OFFSET(AD40,0,-1)+1</f>
        <v>10</v>
      </c>
      <c r="AE40" s="1468">
        <f>OFFSET(AE40,0,-1)+1</f>
        <v>11</v>
      </c>
      <c r="AF40" s="1468">
        <f>OFFSET(AF40,0,-1)+1</f>
        <v>12</v>
      </c>
      <c r="AG40" s="2105">
        <f>OFFSET(AG40,0,-1)+1</f>
        <v>13</v>
      </c>
      <c r="AH40" s="2105"/>
      <c r="AI40" s="1468">
        <f>OFFSET(AI40,0,-2)+1</f>
        <v>14</v>
      </c>
      <c r="AJ40" s="1250">
        <f>OFFSET(AJ40,0,-1)</f>
        <v>14</v>
      </c>
      <c r="AK40" s="1468">
        <f>OFFSET(AK40,0,-1)+1</f>
        <v>15</v>
      </c>
      <c r="AL40" s="507"/>
      <c r="AM40" s="507"/>
      <c r="AN40" s="507"/>
      <c r="AO40" s="507"/>
      <c r="AP40" s="507"/>
    </row>
    <row customHeight="1" ht="23.25">
      <c r="A41" s="1380" t="s">
        <v>246</v>
      </c>
      <c r="B41" s="1380"/>
      <c r="C41" s="1380"/>
      <c r="D41" s="1380"/>
      <c r="E41" s="2089">
        <v>1</v>
      </c>
      <c r="F41" s="1380"/>
      <c r="G41" s="1380"/>
      <c r="H41" s="1380"/>
      <c r="I41" s="1380"/>
      <c r="J41" s="1380"/>
      <c r="K41" s="1380"/>
      <c r="L41" s="1381"/>
      <c r="M41" s="1382"/>
      <c r="N41" s="1382"/>
      <c r="O41" s="1382"/>
      <c r="P41" s="349"/>
      <c r="Q41" s="348"/>
      <c r="R41" s="343"/>
      <c r="S41" s="1474">
        <f>INDEX(PT_DIFFERENTIATION_NUM_NTAR,MATCH(A41,PT_DIFFERENTIATION_NTAR_ID,0))</f>
        <v>0</v>
      </c>
      <c r="T41" s="278" t="s">
        <v>122</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246</v>
      </c>
      <c r="B42" s="1380" t="s">
        <v>247</v>
      </c>
      <c r="C42" s="1380"/>
      <c r="D42" s="1380"/>
      <c r="E42" s="2090"/>
      <c r="F42" s="2089">
        <v>1</v>
      </c>
      <c r="G42" s="1380"/>
      <c r="H42" s="1380"/>
      <c r="I42" s="1380"/>
      <c r="J42" s="1380"/>
      <c r="K42" s="1380"/>
      <c r="L42" s="1381"/>
      <c r="M42" s="1382"/>
      <c r="N42" s="1382"/>
      <c r="O42" s="1382"/>
      <c r="P42" s="1470"/>
      <c r="Q42" s="340"/>
      <c r="R42" s="341"/>
      <c r="S42" s="1474" t="str">
        <f>INDEX(PT_DIFFERENTIATION_NUM_TER,MATCH(B42,PT_DIFFERENTIATION_TER_ID,0))</f>
        <v>.</v>
      </c>
      <c r="T42" s="290" t="s">
        <v>404</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405</v>
      </c>
      <c r="AM42" s="496"/>
      <c r="AN42" s="496" t="str">
        <f>IF(T42="","",T42)</f>
        <v>Территория действия тарифа</v>
      </c>
      <c r="AO42" s="496"/>
      <c r="AP42" s="496"/>
    </row>
    <row customHeight="1" ht="23.25">
      <c r="A43" s="1380" t="s">
        <v>246</v>
      </c>
      <c r="B43" s="1380" t="s">
        <v>247</v>
      </c>
      <c r="C43" s="1380" t="s">
        <v>248</v>
      </c>
      <c r="D43" s="1380"/>
      <c r="E43" s="2090"/>
      <c r="F43" s="2090"/>
      <c r="G43" s="2089">
        <v>1</v>
      </c>
      <c r="H43" s="1380"/>
      <c r="I43" s="1380"/>
      <c r="J43" s="1380"/>
      <c r="K43" s="1380"/>
      <c r="L43" s="1381"/>
      <c r="M43" s="1382"/>
      <c r="N43" s="1382"/>
      <c r="O43" s="1382"/>
      <c r="P43" s="342"/>
      <c r="Q43" s="340"/>
      <c r="R43" s="341"/>
      <c r="S43" s="1474" t="str">
        <f>INDEX(PT_DIFFERENTIATION_NUM_CS,MATCH(C43,PT_DIFFERENTIATION_CS_ID,0))</f>
        <v>..</v>
      </c>
      <c r="T43" s="291" t="s">
        <v>488</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489</v>
      </c>
      <c r="AM43" s="496"/>
      <c r="AN43" s="496" t="str">
        <f>IF(T43="","",T43)</f>
        <v>Наименование централизованной системы холодного водоснабжения</v>
      </c>
      <c r="AO43" s="496"/>
      <c r="AP43" s="496"/>
    </row>
    <row customHeight="1" ht="23.25">
      <c r="A44" s="1380" t="s">
        <v>246</v>
      </c>
      <c r="B44" s="1380" t="s">
        <v>247</v>
      </c>
      <c r="C44" s="1380" t="s">
        <v>248</v>
      </c>
      <c r="D44" s="1380" t="s">
        <v>505</v>
      </c>
      <c r="E44" s="2090"/>
      <c r="F44" s="2090"/>
      <c r="G44" s="2090"/>
      <c r="H44" s="2090"/>
      <c r="I44" s="2091" t="str">
        <f>S43&amp;".1"</f>
        <v>...1</v>
      </c>
      <c r="J44" s="1380"/>
      <c r="K44" s="1380"/>
      <c r="L44" s="1381"/>
      <c r="P44" s="2093">
        <v>1</v>
      </c>
      <c r="Q44" s="1467"/>
      <c r="R44" s="344"/>
      <c r="S44" s="1474" t="str">
        <f>$I44</f>
        <v>...1</v>
      </c>
      <c r="T44" s="266" t="s">
        <v>490</v>
      </c>
      <c r="U44" s="280"/>
      <c r="V44" s="2176"/>
      <c r="W44" s="2177"/>
      <c r="X44" s="2177"/>
      <c r="Y44" s="2177"/>
      <c r="Z44" s="2177"/>
      <c r="AA44" s="2177"/>
      <c r="AB44" s="2178"/>
      <c r="AC44" s="2179"/>
      <c r="AD44" s="2180"/>
      <c r="AE44" s="2180"/>
      <c r="AF44" s="2180"/>
      <c r="AG44" s="2180"/>
      <c r="AH44" s="2180"/>
      <c r="AI44" s="2180"/>
      <c r="AJ44" s="2181"/>
      <c r="AK44" s="1273" t="s">
        <v>491</v>
      </c>
      <c r="AM44" s="496"/>
      <c r="AN44" s="496" t="str">
        <f>IF(T44="","",T44)</f>
        <v>Наименование признака дифференциации</v>
      </c>
      <c r="AO44" s="496"/>
      <c r="AP44" s="496"/>
    </row>
    <row customHeight="1" ht="23.25">
      <c r="A45" s="1380" t="s">
        <v>246</v>
      </c>
      <c r="B45" s="1380" t="s">
        <v>247</v>
      </c>
      <c r="C45" s="1380" t="s">
        <v>248</v>
      </c>
      <c r="D45" s="1380" t="s">
        <v>505</v>
      </c>
      <c r="E45" s="2090"/>
      <c r="F45" s="2090"/>
      <c r="G45" s="2090"/>
      <c r="H45" s="2090"/>
      <c r="I45" s="2092"/>
      <c r="J45" s="2091" t="str">
        <f>I44&amp;".1"</f>
        <v>...1.1</v>
      </c>
      <c r="K45" s="1380"/>
      <c r="L45" s="1381" t="s">
        <v>413</v>
      </c>
      <c r="P45" s="2093"/>
      <c r="Q45" s="2093">
        <v>1</v>
      </c>
      <c r="R45" s="345"/>
      <c r="S45" s="1474" t="str">
        <f>$J45</f>
        <v>...1.1</v>
      </c>
      <c r="T45" s="267" t="s">
        <v>414</v>
      </c>
      <c r="U45" s="280"/>
      <c r="V45" s="2077"/>
      <c r="W45" s="2078"/>
      <c r="X45" s="2078"/>
      <c r="Y45" s="2078"/>
      <c r="Z45" s="2078"/>
      <c r="AA45" s="2078"/>
      <c r="AB45" s="2079"/>
      <c r="AC45" s="2077"/>
      <c r="AD45" s="2078"/>
      <c r="AE45" s="2078"/>
      <c r="AF45" s="2078"/>
      <c r="AG45" s="2078"/>
      <c r="AH45" s="2078"/>
      <c r="AI45" s="2078"/>
      <c r="AJ45" s="2079"/>
      <c r="AK45" s="1324" t="s">
        <v>492</v>
      </c>
      <c r="AM45" s="496"/>
      <c r="AN45" s="496" t="str">
        <f>IF(T45="","",T45)</f>
        <v>Группа потребителей</v>
      </c>
      <c r="AO45" s="496"/>
      <c r="AP45" s="496"/>
    </row>
    <row customHeight="1" ht="23.25">
      <c r="A46" s="1380" t="s">
        <v>246</v>
      </c>
      <c r="B46" s="1380" t="s">
        <v>247</v>
      </c>
      <c r="C46" s="1380" t="s">
        <v>248</v>
      </c>
      <c r="D46" s="1380" t="s">
        <v>505</v>
      </c>
      <c r="E46" s="2090"/>
      <c r="F46" s="2090"/>
      <c r="G46" s="2090"/>
      <c r="H46" s="2090"/>
      <c r="I46" s="2092"/>
      <c r="J46" s="2092"/>
      <c r="K46" s="2091" t="str">
        <f>J45&amp;".1"</f>
        <v>...1.1.1</v>
      </c>
      <c r="L46" s="1381"/>
      <c r="P46" s="2093"/>
      <c r="Q46" s="2093"/>
      <c r="R46" s="345">
        <v>1</v>
      </c>
      <c r="S46" s="1474" t="str">
        <f>$K46</f>
        <v>...1.1.1</v>
      </c>
      <c r="T46" s="1454"/>
      <c r="U46" s="280"/>
      <c r="V46" s="746"/>
      <c r="W46" s="746"/>
      <c r="X46" s="1272"/>
      <c r="Y46" s="2094"/>
      <c r="Z46" s="1963" t="s">
        <v>66</v>
      </c>
      <c r="AA46" s="2094"/>
      <c r="AB46" s="1963" t="s">
        <v>66</v>
      </c>
      <c r="AC46" s="746"/>
      <c r="AD46" s="746"/>
      <c r="AE46" s="1272"/>
      <c r="AF46" s="2094"/>
      <c r="AG46" s="1963" t="s">
        <v>66</v>
      </c>
      <c r="AH46" s="2096"/>
      <c r="AI46" s="1963" t="s">
        <v>66</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246</v>
      </c>
      <c r="B47" s="1380" t="s">
        <v>247</v>
      </c>
      <c r="C47" s="1380" t="s">
        <v>248</v>
      </c>
      <c r="D47" s="1380" t="s">
        <v>505</v>
      </c>
      <c r="E47" s="2090"/>
      <c r="F47" s="2090"/>
      <c r="G47" s="2090"/>
      <c r="H47" s="2090"/>
      <c r="I47" s="2092"/>
      <c r="J47" s="2092"/>
      <c r="K47" s="2091"/>
      <c r="L47" s="1381"/>
      <c r="P47" s="2093"/>
      <c r="Q47" s="2093"/>
      <c r="R47" s="345"/>
      <c r="S47" s="1473"/>
      <c r="T47" s="280"/>
      <c r="U47" s="280"/>
      <c r="V47" s="312"/>
      <c r="W47" s="312"/>
      <c r="X47" s="316" t="str">
        <f>Y46&amp;"-"&amp;AA46</f>
        <v>-</v>
      </c>
      <c r="Y47" s="2095"/>
      <c r="Z47" s="1963"/>
      <c r="AA47" s="2095"/>
      <c r="AB47" s="1963"/>
      <c r="AC47" s="312"/>
      <c r="AD47" s="312"/>
      <c r="AE47" s="316" t="str">
        <f>AF46&amp;"-"&amp;AH46</f>
        <v>-</v>
      </c>
      <c r="AF47" s="2095"/>
      <c r="AG47" s="1963"/>
      <c r="AH47" s="2097"/>
      <c r="AI47" s="1963"/>
      <c r="AJ47" s="1456"/>
      <c r="AK47" s="2182"/>
      <c r="AM47" s="496"/>
      <c r="AN47" s="496" t="str">
        <f>IF(T47="","",T47)</f>
        <v/>
      </c>
      <c r="AO47" s="496"/>
      <c r="AP47" s="496"/>
    </row>
    <row customHeight="1" ht="21">
      <c r="A48" s="1380" t="s">
        <v>246</v>
      </c>
      <c r="B48" s="1380" t="s">
        <v>247</v>
      </c>
      <c r="C48" s="1380" t="s">
        <v>248</v>
      </c>
      <c r="D48" s="1380" t="s">
        <v>505</v>
      </c>
      <c r="E48" s="2090"/>
      <c r="F48" s="2090"/>
      <c r="G48" s="2090"/>
      <c r="H48" s="2090"/>
      <c r="I48" s="2092"/>
      <c r="J48" s="2091"/>
      <c r="K48" s="1380"/>
      <c r="L48" s="1381"/>
      <c r="P48" s="2093"/>
      <c r="Q48" s="2093"/>
      <c r="R48" s="344"/>
      <c r="S48" s="1295"/>
      <c r="T48" s="268" t="s">
        <v>493</v>
      </c>
      <c r="U48" s="359"/>
      <c r="V48" s="359"/>
      <c r="W48" s="359"/>
      <c r="X48" s="359"/>
      <c r="Y48" s="359"/>
      <c r="Z48" s="359"/>
      <c r="AA48" s="359"/>
      <c r="AB48" s="359"/>
      <c r="AC48" s="359"/>
      <c r="AD48" s="359"/>
      <c r="AE48" s="359"/>
      <c r="AF48" s="359"/>
      <c r="AG48" s="359"/>
      <c r="AH48" s="359"/>
      <c r="AI48" s="359"/>
      <c r="AJ48" s="359"/>
      <c r="AK48" s="1273" t="s">
        <v>494</v>
      </c>
      <c r="AM48" s="496"/>
      <c r="AN48" s="496" t="str">
        <f>IF(T48="","",T48)</f>
        <v>Добавить значение признака дифференциации</v>
      </c>
      <c r="AO48" s="496"/>
      <c r="AP48" s="496"/>
    </row>
    <row customHeight="1" ht="21">
      <c r="A49" s="1380" t="s">
        <v>246</v>
      </c>
      <c r="B49" s="1380" t="s">
        <v>247</v>
      </c>
      <c r="C49" s="1380" t="s">
        <v>248</v>
      </c>
      <c r="D49" s="1380" t="s">
        <v>505</v>
      </c>
      <c r="E49" s="2090"/>
      <c r="F49" s="2090"/>
      <c r="G49" s="2090"/>
      <c r="H49" s="2090"/>
      <c r="I49" s="2091"/>
      <c r="J49" s="1380"/>
      <c r="K49" s="1380"/>
      <c r="L49" s="1381"/>
      <c r="P49" s="2093"/>
      <c r="Q49" s="1467"/>
      <c r="R49" s="344"/>
      <c r="S49" s="1295"/>
      <c r="T49" s="356" t="s">
        <v>419</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246</v>
      </c>
      <c r="B50" s="1380" t="s">
        <v>247</v>
      </c>
      <c r="C50" s="1380" t="s">
        <v>248</v>
      </c>
      <c r="D50" s="1380" t="s">
        <v>505</v>
      </c>
      <c r="E50" s="2090"/>
      <c r="F50" s="2090"/>
      <c r="G50" s="2090"/>
      <c r="H50" s="2089"/>
      <c r="I50" s="1380"/>
      <c r="J50" s="1380"/>
      <c r="K50" s="1380"/>
      <c r="L50" s="1381"/>
      <c r="M50" s="1382"/>
      <c r="N50" s="1382"/>
      <c r="O50" s="533"/>
      <c r="P50" s="348"/>
      <c r="Q50" s="367"/>
      <c r="R50" s="343"/>
      <c r="S50" s="1295"/>
      <c r="T50" s="364" t="s">
        <v>495</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246</v>
      </c>
      <c r="B51" s="1360" t="s">
        <v>247</v>
      </c>
      <c r="C51" s="1331"/>
      <c r="D51" s="1331"/>
      <c r="E51" s="2090"/>
      <c r="F51" s="2089"/>
      <c r="G51" s="1331"/>
      <c r="H51" s="1331"/>
      <c r="I51" s="1331"/>
      <c r="J51" s="1331"/>
      <c r="K51" s="1331"/>
      <c r="L51" s="1475"/>
      <c r="M51" s="1338"/>
      <c r="N51" s="1338"/>
      <c r="P51" s="1333"/>
      <c r="Q51" s="1334"/>
      <c r="R51" s="1333"/>
      <c r="S51" s="1339"/>
      <c r="T51" s="1342" t="s">
        <v>167</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246</v>
      </c>
      <c r="B52" s="1360"/>
      <c r="C52" s="1360"/>
      <c r="D52" s="1360"/>
      <c r="E52" s="2089"/>
      <c r="F52" s="1360"/>
      <c r="G52" s="1360"/>
      <c r="H52" s="1360"/>
      <c r="I52" s="1360"/>
      <c r="J52" s="1360"/>
      <c r="K52" s="1360"/>
      <c r="L52" s="1363"/>
      <c r="M52" s="1338"/>
      <c r="N52" s="1338"/>
      <c r="O52" s="514"/>
      <c r="P52" s="376"/>
      <c r="Q52" s="1361"/>
      <c r="R52" s="376"/>
      <c r="S52" s="1339"/>
      <c r="T52" s="1342" t="s">
        <v>168</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75"/>
      <c r="M53" s="1338"/>
      <c r="N53" s="1338"/>
      <c r="P53" s="1333"/>
      <c r="Q53" s="1334"/>
      <c r="R53" s="1333"/>
      <c r="S53" s="1339"/>
      <c r="T53" s="1342" t="s">
        <v>180</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2AE23D-9D2B-E3FE-1ECB-870E5A1A15FE}"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3" width="11.57421875" hidden="1" customWidth="1"/>
    <col min="2" max="2" style="1383" width="11.00390625" hidden="1" customWidth="1"/>
    <col min="3" max="3" style="1383" width="10.57421875" hidden="1"/>
    <col min="4" max="4" style="1383" width="12.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5" style="1660" width="21.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2" style="1660" width="3.7109375" customWidth="1"/>
    <col min="33" max="33" style="1660" width="24.7109375" customWidth="1"/>
    <col min="34" max="36" style="1660" width="3.7109375" customWidth="1"/>
    <col min="37" max="37" style="1660" width="24.7109375" customWidth="1"/>
    <col min="38" max="40" style="1660" width="3.7109375" customWidth="1"/>
    <col min="41" max="41" style="1660" width="18.8515625" customWidth="1"/>
    <col min="42" max="44" style="1660" width="3.7109375" customWidth="1"/>
    <col min="45" max="45" style="1660" width="18.8515625" customWidth="1"/>
    <col min="46" max="49" style="1660" width="21.7109375" customWidth="1"/>
    <col min="50" max="50" style="1660" width="11.7109375" customWidth="1"/>
    <col min="51" max="51" style="1660" width="3.7109375" customWidth="1"/>
    <col min="52" max="52" style="1660" width="11.7109375" customWidth="1"/>
    <col min="53" max="53" style="1660" width="8.57421875" hidden="1" customWidth="1"/>
    <col min="54" max="54" style="1660" width="4.7109375" customWidth="1"/>
    <col min="55" max="55" style="1660" width="115.7109375" customWidth="1"/>
    <col min="56" max="57" style="1667" width="10.57421875"/>
    <col min="58" max="58" style="1667" width="11.140625" customWidth="1"/>
    <col min="59" max="60" style="1667" width="10.57421875"/>
  </cols>
  <sheetData>
    <row customHeight="1" ht="14.25" hidden="1">
      <c r="W1" s="315"/>
      <c r="Y1" s="315"/>
      <c r="Z1" s="315"/>
      <c r="AW1" s="315"/>
      <c r="AX1" s="315"/>
    </row>
    <row customHeight="1" ht="21" hidden="1">
      <c r="A2" s="1380"/>
      <c r="B2" s="1380"/>
      <c r="C2" s="1380"/>
      <c r="D2" s="1380"/>
      <c r="E2" s="2089">
        <v>1</v>
      </c>
      <c r="F2" s="1380"/>
      <c r="G2" s="1380"/>
      <c r="H2" s="1380"/>
      <c r="I2" s="1380"/>
      <c r="J2" s="1380"/>
      <c r="K2" s="1380"/>
      <c r="L2" s="1381"/>
      <c r="M2" s="1382"/>
      <c r="N2" s="1382"/>
      <c r="O2" s="1382"/>
      <c r="P2" s="1426"/>
      <c r="Q2" s="867"/>
      <c r="R2" s="343"/>
      <c r="S2" s="1482">
        <f>INDEX(PT_DIFFERENTIATION_NUM_NTAR,MATCH(A2,PT_DIFFERENTIATION_NTAR_ID,0))</f>
      </c>
      <c r="T2" s="278" t="s">
        <v>122</v>
      </c>
      <c r="U2" s="280"/>
      <c r="V2" s="2084"/>
      <c r="W2" s="2084"/>
      <c r="X2" s="2084"/>
      <c r="Y2" s="2084"/>
      <c r="Z2" s="2084"/>
      <c r="AA2" s="2084"/>
      <c r="AB2" s="2084"/>
      <c r="AC2" s="2085"/>
      <c r="AD2" s="2083">
        <f>INDEX(PT_DIFFERENTIATION_NTAR,MATCH(A2,PT_DIFFERENTIATION_NTAR_ID,0))</f>
      </c>
      <c r="AE2" s="2084"/>
      <c r="AF2" s="2084"/>
      <c r="AG2" s="2084"/>
      <c r="AH2" s="2084"/>
      <c r="AI2" s="2084"/>
      <c r="AJ2" s="2084"/>
      <c r="AK2" s="2084"/>
      <c r="AL2" s="2084"/>
      <c r="AM2" s="2084"/>
      <c r="AN2" s="2084"/>
      <c r="AO2" s="2084"/>
      <c r="AP2" s="2084"/>
      <c r="AQ2" s="2084"/>
      <c r="AR2" s="2084"/>
      <c r="AS2" s="2084"/>
      <c r="AT2" s="2084"/>
      <c r="AU2" s="2084"/>
      <c r="AV2" s="2084"/>
      <c r="AW2" s="2084"/>
      <c r="AX2" s="2084"/>
      <c r="AY2" s="2084"/>
      <c r="AZ2" s="2084"/>
      <c r="BA2" s="2084"/>
      <c r="BB2" s="2085"/>
      <c r="BC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0"/>
      <c r="B3" s="1380"/>
      <c r="C3" s="1380"/>
      <c r="D3" s="1380"/>
      <c r="E3" s="2090"/>
      <c r="F3" s="2089">
        <v>1</v>
      </c>
      <c r="G3" s="1380"/>
      <c r="H3" s="1380"/>
      <c r="I3" s="1380"/>
      <c r="J3" s="1380"/>
      <c r="K3" s="1380"/>
      <c r="L3" s="1381"/>
      <c r="M3" s="1382"/>
      <c r="N3" s="1382"/>
      <c r="O3" s="1382"/>
      <c r="P3" s="1427"/>
      <c r="Q3" s="1428"/>
      <c r="R3" s="341"/>
      <c r="S3" s="1482">
        <f>INDEX(PT_DIFFERENTIATION_NUM_TER,MATCH(B3,PT_DIFFERENTIATION_TER_ID,0))</f>
      </c>
      <c r="T3" s="290" t="s">
        <v>404</v>
      </c>
      <c r="U3" s="280"/>
      <c r="V3" s="2084"/>
      <c r="W3" s="2084"/>
      <c r="X3" s="2084"/>
      <c r="Y3" s="2084"/>
      <c r="Z3" s="2084"/>
      <c r="AA3" s="2084"/>
      <c r="AB3" s="2084"/>
      <c r="AC3" s="2085"/>
      <c r="AD3" s="2083">
        <f>INDEX(PT_DIFFERENTIATION_TER,MATCH(B3,PT_DIFFERENTIATION_TER_ID,0))</f>
      </c>
      <c r="AE3" s="2084"/>
      <c r="AF3" s="2084"/>
      <c r="AG3" s="2084"/>
      <c r="AH3" s="2084"/>
      <c r="AI3" s="2084"/>
      <c r="AJ3" s="2084"/>
      <c r="AK3" s="2084"/>
      <c r="AL3" s="2084"/>
      <c r="AM3" s="2084"/>
      <c r="AN3" s="2084"/>
      <c r="AO3" s="2084"/>
      <c r="AP3" s="2084"/>
      <c r="AQ3" s="2084"/>
      <c r="AR3" s="2084"/>
      <c r="AS3" s="2084"/>
      <c r="AT3" s="2084"/>
      <c r="AU3" s="2084"/>
      <c r="AV3" s="2084"/>
      <c r="AW3" s="2084"/>
      <c r="AX3" s="2084"/>
      <c r="AY3" s="2084"/>
      <c r="AZ3" s="2084"/>
      <c r="BA3" s="2084"/>
      <c r="BB3" s="2085"/>
      <c r="BC3" s="1273" t="s">
        <v>405</v>
      </c>
      <c r="BE3" s="496"/>
      <c r="BF3" s="496" t="str">
        <f>IF(T3="","",T3)</f>
        <v>Территория действия тарифа</v>
      </c>
      <c r="BG3" s="496"/>
      <c r="BH3" s="496"/>
    </row>
    <row customHeight="1" ht="42" hidden="1">
      <c r="A4" s="1380"/>
      <c r="B4" s="1380"/>
      <c r="C4" s="1380"/>
      <c r="D4" s="1380"/>
      <c r="E4" s="2090"/>
      <c r="F4" s="2090"/>
      <c r="G4" s="2089">
        <v>1</v>
      </c>
      <c r="H4" s="1380"/>
      <c r="I4" s="1380"/>
      <c r="J4" s="1380"/>
      <c r="K4" s="1380"/>
      <c r="L4" s="1381"/>
      <c r="M4" s="1382"/>
      <c r="N4" s="1382"/>
      <c r="O4" s="1382"/>
      <c r="P4" s="1429"/>
      <c r="Q4" s="1428"/>
      <c r="R4" s="341"/>
      <c r="S4" s="1482">
        <f>INDEX(PT_DIFFERENTIATION_NUM_CS,MATCH(C4,PT_DIFFERENTIATION_CS_ID,0))</f>
      </c>
      <c r="T4" s="291" t="s">
        <v>488</v>
      </c>
      <c r="U4" s="280"/>
      <c r="V4" s="2084"/>
      <c r="W4" s="2084"/>
      <c r="X4" s="2084"/>
      <c r="Y4" s="2084"/>
      <c r="Z4" s="2084"/>
      <c r="AA4" s="2084"/>
      <c r="AB4" s="2084"/>
      <c r="AC4" s="2085"/>
      <c r="AD4" s="2083">
        <f>INDEX(PT_DIFFERENTIATION_CS,MATCH(C4,PT_DIFFERENTIATION_CS_ID,0))</f>
      </c>
      <c r="AE4" s="2084"/>
      <c r="AF4" s="2084"/>
      <c r="AG4" s="2084"/>
      <c r="AH4" s="2084"/>
      <c r="AI4" s="2084"/>
      <c r="AJ4" s="2084"/>
      <c r="AK4" s="2084"/>
      <c r="AL4" s="2084"/>
      <c r="AM4" s="2084"/>
      <c r="AN4" s="2084"/>
      <c r="AO4" s="2084"/>
      <c r="AP4" s="2084"/>
      <c r="AQ4" s="2084"/>
      <c r="AR4" s="2084"/>
      <c r="AS4" s="2084"/>
      <c r="AT4" s="2084"/>
      <c r="AU4" s="2084"/>
      <c r="AV4" s="2084"/>
      <c r="AW4" s="2084"/>
      <c r="AX4" s="2084"/>
      <c r="AY4" s="2084"/>
      <c r="AZ4" s="2084"/>
      <c r="BA4" s="2084"/>
      <c r="BB4" s="2085"/>
      <c r="BC4" s="1273" t="s">
        <v>489</v>
      </c>
      <c r="BE4" s="496"/>
      <c r="BF4" s="496" t="str">
        <f>IF(T4="","",T4)</f>
        <v>Наименование централизованной системы холодного водоснабжения</v>
      </c>
      <c r="BG4" s="496"/>
      <c r="BH4" s="496"/>
    </row>
    <row s="1667" customFormat="1" customHeight="1" ht="14.25" hidden="1">
      <c r="A5" s="1360"/>
      <c r="B5" s="1360"/>
      <c r="C5" s="1360"/>
      <c r="D5" s="1360"/>
      <c r="E5" s="2090"/>
      <c r="F5" s="2090"/>
      <c r="G5" s="2090"/>
      <c r="H5" s="2089">
        <v>1</v>
      </c>
      <c r="I5" s="1360"/>
      <c r="J5" s="1360"/>
      <c r="K5" s="1360"/>
      <c r="L5" s="1363"/>
      <c r="M5" s="1332"/>
      <c r="N5" s="1332"/>
      <c r="O5" s="1332"/>
      <c r="P5" s="1514"/>
      <c r="Q5" s="1515"/>
      <c r="R5" s="345"/>
      <c r="S5" s="1037"/>
      <c r="T5" s="1516"/>
      <c r="U5" s="1401"/>
      <c r="V5" s="2130"/>
      <c r="W5" s="2130"/>
      <c r="X5" s="2130"/>
      <c r="Y5" s="2130"/>
      <c r="Z5" s="2130"/>
      <c r="AA5" s="2130"/>
      <c r="AB5" s="2130"/>
      <c r="AC5" s="2131"/>
      <c r="AD5" s="2129"/>
      <c r="AE5" s="2130"/>
      <c r="AF5" s="2130"/>
      <c r="AG5" s="2130"/>
      <c r="AH5" s="2130"/>
      <c r="AI5" s="2130"/>
      <c r="AJ5" s="2130"/>
      <c r="AK5" s="2130"/>
      <c r="AL5" s="2130"/>
      <c r="AM5" s="2130"/>
      <c r="AN5" s="2130"/>
      <c r="AO5" s="2130"/>
      <c r="AP5" s="2130"/>
      <c r="AQ5" s="2130"/>
      <c r="AR5" s="2130"/>
      <c r="AS5" s="2130"/>
      <c r="AT5" s="2130"/>
      <c r="AU5" s="2130"/>
      <c r="AV5" s="2130"/>
      <c r="AW5" s="2130"/>
      <c r="AX5" s="2130"/>
      <c r="AY5" s="2130"/>
      <c r="AZ5" s="2130"/>
      <c r="BA5" s="2130"/>
      <c r="BB5" s="2131"/>
      <c r="BC5" s="1402" t="s">
        <v>409</v>
      </c>
      <c r="BE5" s="496"/>
      <c r="BF5" s="496" t="str">
        <f>IF(T5="","",T5)</f>
        <v/>
      </c>
      <c r="BG5" s="496"/>
      <c r="BH5" s="496"/>
    </row>
    <row s="1667" customFormat="1" customHeight="1" ht="14.25" hidden="1">
      <c r="A6" s="1360"/>
      <c r="B6" s="1360"/>
      <c r="C6" s="1360"/>
      <c r="D6" s="1360"/>
      <c r="E6" s="2090"/>
      <c r="F6" s="2090"/>
      <c r="G6" s="2090"/>
      <c r="H6" s="2090"/>
      <c r="I6" s="2091" t="str">
        <f>S5&amp;".1"</f>
        <v>.1</v>
      </c>
      <c r="J6" s="1360"/>
      <c r="K6" s="1360"/>
      <c r="L6" s="1363" t="s">
        <v>410</v>
      </c>
      <c r="M6" s="506"/>
      <c r="N6" s="506"/>
      <c r="O6" s="506"/>
      <c r="P6" s="2093">
        <v>1</v>
      </c>
      <c r="Q6" s="1479"/>
      <c r="R6" s="344"/>
      <c r="S6" s="1037"/>
      <c r="T6" s="1400"/>
      <c r="U6" s="1401"/>
      <c r="V6" s="2130"/>
      <c r="W6" s="2130"/>
      <c r="X6" s="2130"/>
      <c r="Y6" s="2130"/>
      <c r="Z6" s="2130"/>
      <c r="AA6" s="2130"/>
      <c r="AB6" s="2130"/>
      <c r="AC6" s="2131"/>
      <c r="AD6" s="2129"/>
      <c r="AE6" s="2130"/>
      <c r="AF6" s="2130"/>
      <c r="AG6" s="2130"/>
      <c r="AH6" s="2130"/>
      <c r="AI6" s="2130"/>
      <c r="AJ6" s="2130"/>
      <c r="AK6" s="2130"/>
      <c r="AL6" s="2130"/>
      <c r="AM6" s="2130"/>
      <c r="AN6" s="2130"/>
      <c r="AO6" s="2130"/>
      <c r="AP6" s="2130"/>
      <c r="AQ6" s="2130"/>
      <c r="AR6" s="2130"/>
      <c r="AS6" s="2130"/>
      <c r="AT6" s="2130"/>
      <c r="AU6" s="2130"/>
      <c r="AV6" s="2130"/>
      <c r="AW6" s="2130"/>
      <c r="AX6" s="2130"/>
      <c r="AY6" s="2130"/>
      <c r="AZ6" s="2130"/>
      <c r="BA6" s="2130"/>
      <c r="BB6" s="2131"/>
      <c r="BC6" s="1402"/>
      <c r="BE6" s="496"/>
      <c r="BF6" s="496" t="str">
        <f>IF(T6="","",T6)</f>
        <v/>
      </c>
      <c r="BG6" s="496"/>
      <c r="BH6" s="496"/>
    </row>
    <row s="1667" customFormat="1" customHeight="1" ht="14.25" hidden="1">
      <c r="A7" s="1360"/>
      <c r="B7" s="1360"/>
      <c r="C7" s="1360"/>
      <c r="D7" s="1360"/>
      <c r="E7" s="2090"/>
      <c r="F7" s="2090"/>
      <c r="G7" s="2090"/>
      <c r="H7" s="2090"/>
      <c r="I7" s="2092"/>
      <c r="J7" s="2091" t="str">
        <f>S5&amp;".1"</f>
        <v>.1</v>
      </c>
      <c r="K7" s="1360"/>
      <c r="L7" s="1363"/>
      <c r="M7" s="506"/>
      <c r="N7" s="506"/>
      <c r="O7" s="506"/>
      <c r="P7" s="2093"/>
      <c r="Q7" s="2093">
        <v>1</v>
      </c>
      <c r="R7" s="345"/>
      <c r="S7" s="1037"/>
      <c r="T7" s="1416"/>
      <c r="U7" s="1401"/>
      <c r="V7" s="2130"/>
      <c r="W7" s="2130"/>
      <c r="X7" s="2130"/>
      <c r="Y7" s="2130"/>
      <c r="Z7" s="2130"/>
      <c r="AA7" s="2130"/>
      <c r="AB7" s="2130"/>
      <c r="AC7" s="2131"/>
      <c r="AD7" s="2129"/>
      <c r="AE7" s="2130"/>
      <c r="AF7" s="2130"/>
      <c r="AG7" s="2130"/>
      <c r="AH7" s="2130"/>
      <c r="AI7" s="2130"/>
      <c r="AJ7" s="2130"/>
      <c r="AK7" s="2130"/>
      <c r="AL7" s="2130"/>
      <c r="AM7" s="2130"/>
      <c r="AN7" s="2130"/>
      <c r="AO7" s="2130"/>
      <c r="AP7" s="2130"/>
      <c r="AQ7" s="2130"/>
      <c r="AR7" s="2130"/>
      <c r="AS7" s="2130"/>
      <c r="AT7" s="2130"/>
      <c r="AU7" s="2130"/>
      <c r="AV7" s="2130"/>
      <c r="AW7" s="2130"/>
      <c r="AX7" s="2130"/>
      <c r="AY7" s="2130"/>
      <c r="AZ7" s="2130"/>
      <c r="BA7" s="2130"/>
      <c r="BB7" s="2131"/>
      <c r="BC7" s="1402"/>
      <c r="BE7" s="496"/>
      <c r="BF7" s="496" t="str">
        <f>IF(T7="","",T7)</f>
        <v/>
      </c>
      <c r="BG7" s="496"/>
      <c r="BH7" s="496"/>
    </row>
    <row customHeight="1" ht="11.25" hidden="1">
      <c r="A8" s="1380"/>
      <c r="B8" s="1380"/>
      <c r="C8" s="1380"/>
      <c r="D8" s="1380"/>
      <c r="E8" s="2090"/>
      <c r="F8" s="2090"/>
      <c r="G8" s="2090"/>
      <c r="H8" s="2090"/>
      <c r="I8" s="2092"/>
      <c r="J8" s="2092"/>
      <c r="K8" s="2091">
        <f>S4&amp;".1"</f>
      </c>
      <c r="L8" s="1381"/>
      <c r="P8" s="2093"/>
      <c r="Q8" s="2093"/>
      <c r="R8" s="2169">
        <v>1</v>
      </c>
      <c r="S8" s="2166">
        <f>$K8</f>
      </c>
      <c r="T8" s="2185"/>
      <c r="U8" s="280"/>
      <c r="V8" s="746"/>
      <c r="W8" s="1272"/>
      <c r="X8" s="746"/>
      <c r="Y8" s="1272"/>
      <c r="Z8" s="1758"/>
      <c r="AA8" s="1476" t="s">
        <v>66</v>
      </c>
      <c r="AB8" s="1758"/>
      <c r="AC8" s="1476" t="s">
        <v>66</v>
      </c>
      <c r="AD8" s="2026" t="s">
        <v>66</v>
      </c>
      <c r="AE8" s="2162"/>
      <c r="AF8" s="2039">
        <v>1</v>
      </c>
      <c r="AG8" s="2184"/>
      <c r="AH8" s="1963" t="s">
        <v>66</v>
      </c>
      <c r="AI8" s="2162"/>
      <c r="AJ8" s="2039">
        <v>1</v>
      </c>
      <c r="AK8" s="2183" t="s">
        <v>24</v>
      </c>
      <c r="AL8" s="1963" t="s">
        <v>66</v>
      </c>
      <c r="AM8" s="2011"/>
      <c r="AN8" s="2039">
        <v>1</v>
      </c>
      <c r="AO8" s="2188"/>
      <c r="AP8" s="2189" t="s">
        <v>66</v>
      </c>
      <c r="AQ8" s="293"/>
      <c r="AR8" s="1480">
        <v>1</v>
      </c>
      <c r="AS8" s="1483" t="s">
        <v>24</v>
      </c>
      <c r="AT8" s="746"/>
      <c r="AU8" s="1272"/>
      <c r="AV8" s="746"/>
      <c r="AW8" s="1272"/>
      <c r="AX8" s="1758"/>
      <c r="AY8" s="1476" t="s">
        <v>66</v>
      </c>
      <c r="AZ8" s="1758"/>
      <c r="BA8" s="1476" t="s">
        <v>66</v>
      </c>
      <c r="BB8" s="1365"/>
      <c r="BC8" s="2119" t="s">
        <v>506</v>
      </c>
      <c r="BE8" s="496"/>
      <c r="BF8" s="496" t="str">
        <f>IF(T8="","",T8)</f>
        <v/>
      </c>
      <c r="BG8" s="496"/>
      <c r="BH8" s="496"/>
    </row>
    <row customHeight="1" ht="11.25" hidden="1">
      <c r="A9" s="1380"/>
      <c r="B9" s="1380"/>
      <c r="C9" s="1380"/>
      <c r="D9" s="1380"/>
      <c r="E9" s="2090"/>
      <c r="F9" s="2090"/>
      <c r="G9" s="2090"/>
      <c r="H9" s="2090"/>
      <c r="I9" s="2092"/>
      <c r="J9" s="2092"/>
      <c r="K9" s="2091"/>
      <c r="L9" s="1381"/>
      <c r="P9" s="2093"/>
      <c r="Q9" s="2093"/>
      <c r="R9" s="2169"/>
      <c r="S9" s="2167"/>
      <c r="T9" s="2186"/>
      <c r="U9" s="280"/>
      <c r="V9" s="1410"/>
      <c r="W9" s="1513"/>
      <c r="X9" s="1410"/>
      <c r="Y9" s="1513"/>
      <c r="Z9" s="1410"/>
      <c r="AA9" s="1410"/>
      <c r="AB9" s="1410"/>
      <c r="AC9" s="1410"/>
      <c r="AD9" s="2027"/>
      <c r="AE9" s="2162"/>
      <c r="AF9" s="2039"/>
      <c r="AG9" s="2184"/>
      <c r="AH9" s="1963"/>
      <c r="AI9" s="2162"/>
      <c r="AJ9" s="2039"/>
      <c r="AK9" s="2183"/>
      <c r="AL9" s="1963"/>
      <c r="AM9" s="2019"/>
      <c r="AN9" s="2039"/>
      <c r="AO9" s="2188"/>
      <c r="AP9" s="2190"/>
      <c r="AQ9" s="300"/>
      <c r="AR9" s="413"/>
      <c r="AS9" s="413" t="s">
        <v>507</v>
      </c>
      <c r="AT9" s="1410"/>
      <c r="AU9" s="1513"/>
      <c r="AV9" s="1410"/>
      <c r="AW9" s="1513"/>
      <c r="AX9" s="1410"/>
      <c r="AY9" s="1410"/>
      <c r="AZ9" s="1410"/>
      <c r="BA9" s="1410"/>
      <c r="BB9" s="1414"/>
      <c r="BC9" s="2120"/>
      <c r="BE9" s="496"/>
      <c r="BF9" s="496"/>
      <c r="BG9" s="496"/>
      <c r="BH9" s="496"/>
    </row>
    <row customHeight="1" ht="11.25" hidden="1">
      <c r="A10" s="1380"/>
      <c r="B10" s="1380"/>
      <c r="C10" s="1380"/>
      <c r="D10" s="1380"/>
      <c r="E10" s="2090"/>
      <c r="F10" s="2090"/>
      <c r="G10" s="2090"/>
      <c r="H10" s="2090"/>
      <c r="I10" s="2092"/>
      <c r="J10" s="2092"/>
      <c r="K10" s="2091"/>
      <c r="L10" s="1381"/>
      <c r="P10" s="2093"/>
      <c r="Q10" s="2093"/>
      <c r="R10" s="2169"/>
      <c r="S10" s="2167"/>
      <c r="T10" s="2186"/>
      <c r="U10" s="280"/>
      <c r="V10" s="1410"/>
      <c r="W10" s="1513"/>
      <c r="X10" s="1410"/>
      <c r="Y10" s="1513"/>
      <c r="Z10" s="1410"/>
      <c r="AA10" s="1410"/>
      <c r="AB10" s="1410"/>
      <c r="AC10" s="1410"/>
      <c r="AD10" s="2027"/>
      <c r="AE10" s="2162"/>
      <c r="AF10" s="2039"/>
      <c r="AG10" s="2184"/>
      <c r="AH10" s="1963"/>
      <c r="AI10" s="2162"/>
      <c r="AJ10" s="2039"/>
      <c r="AK10" s="2183"/>
      <c r="AL10" s="1963"/>
      <c r="AM10" s="300"/>
      <c r="AN10" s="1517"/>
      <c r="AO10" s="1517" t="s">
        <v>508</v>
      </c>
      <c r="AP10" s="413"/>
      <c r="AQ10" s="413"/>
      <c r="AR10" s="413"/>
      <c r="AS10" s="1410"/>
      <c r="AT10" s="1410"/>
      <c r="AU10" s="1513"/>
      <c r="AV10" s="1410"/>
      <c r="AW10" s="1513"/>
      <c r="AX10" s="1410"/>
      <c r="AY10" s="1410"/>
      <c r="AZ10" s="1410"/>
      <c r="BA10" s="1410"/>
      <c r="BB10" s="1414"/>
      <c r="BC10" s="2120"/>
      <c r="BE10" s="496"/>
      <c r="BF10" s="496"/>
      <c r="BG10" s="496"/>
      <c r="BH10" s="496"/>
    </row>
    <row customHeight="1" ht="11.25" hidden="1">
      <c r="A11" s="1380"/>
      <c r="B11" s="1380"/>
      <c r="C11" s="1380"/>
      <c r="D11" s="1380"/>
      <c r="E11" s="2090"/>
      <c r="F11" s="2090"/>
      <c r="G11" s="2090"/>
      <c r="H11" s="2090"/>
      <c r="I11" s="2092"/>
      <c r="J11" s="2092"/>
      <c r="K11" s="2091"/>
      <c r="L11" s="1381"/>
      <c r="P11" s="2093"/>
      <c r="Q11" s="2093"/>
      <c r="R11" s="2169"/>
      <c r="S11" s="2167"/>
      <c r="T11" s="2186"/>
      <c r="U11" s="280"/>
      <c r="V11" s="1410"/>
      <c r="W11" s="1513"/>
      <c r="X11" s="1410"/>
      <c r="Y11" s="1513"/>
      <c r="Z11" s="1410"/>
      <c r="AA11" s="1410"/>
      <c r="AB11" s="1410"/>
      <c r="AC11" s="1410"/>
      <c r="AD11" s="2027"/>
      <c r="AE11" s="2162"/>
      <c r="AF11" s="2039"/>
      <c r="AG11" s="2184"/>
      <c r="AH11" s="1963"/>
      <c r="AI11" s="274"/>
      <c r="AJ11" s="412"/>
      <c r="AK11" s="295" t="s">
        <v>509</v>
      </c>
      <c r="AL11" s="1410"/>
      <c r="AM11" s="1410"/>
      <c r="AN11" s="1410"/>
      <c r="AO11" s="1410"/>
      <c r="AP11" s="1410"/>
      <c r="AQ11" s="1410"/>
      <c r="AR11" s="1410"/>
      <c r="AS11" s="1410"/>
      <c r="AT11" s="1410"/>
      <c r="AU11" s="1513"/>
      <c r="AV11" s="1410"/>
      <c r="AW11" s="1513"/>
      <c r="AX11" s="1410"/>
      <c r="AY11" s="1410"/>
      <c r="AZ11" s="1410"/>
      <c r="BA11" s="1410"/>
      <c r="BB11" s="1414"/>
      <c r="BC11" s="2120"/>
      <c r="BE11" s="496"/>
      <c r="BF11" s="496"/>
      <c r="BG11" s="496"/>
      <c r="BH11" s="496"/>
    </row>
    <row customHeight="1" ht="11.25" hidden="1">
      <c r="A12" s="1380"/>
      <c r="B12" s="1380"/>
      <c r="C12" s="1380"/>
      <c r="D12" s="1380"/>
      <c r="E12" s="2090"/>
      <c r="F12" s="2090"/>
      <c r="G12" s="2090"/>
      <c r="H12" s="2090"/>
      <c r="I12" s="2092"/>
      <c r="J12" s="2092"/>
      <c r="K12" s="2091"/>
      <c r="L12" s="1381"/>
      <c r="P12" s="2093"/>
      <c r="Q12" s="2093"/>
      <c r="R12" s="2169"/>
      <c r="S12" s="2168"/>
      <c r="T12" s="2187"/>
      <c r="U12" s="280"/>
      <c r="V12" s="1410"/>
      <c r="W12" s="1411" t="str">
        <f>Z8&amp;"-"&amp;AB8</f>
        <v>-</v>
      </c>
      <c r="X12" s="1410"/>
      <c r="Y12" s="1411" t="str">
        <f>AB8&amp;"-"&amp;AD8</f>
        <v>-да</v>
      </c>
      <c r="Z12" s="1410"/>
      <c r="AA12" s="1410"/>
      <c r="AB12" s="1410"/>
      <c r="AC12" s="1410"/>
      <c r="AD12" s="1968"/>
      <c r="AE12" s="294"/>
      <c r="AF12" s="296"/>
      <c r="AG12" s="413" t="s">
        <v>510</v>
      </c>
      <c r="AH12" s="1410"/>
      <c r="AI12" s="1410"/>
      <c r="AJ12" s="1410"/>
      <c r="AK12" s="1410"/>
      <c r="AL12" s="1410"/>
      <c r="AM12" s="1410"/>
      <c r="AN12" s="1410"/>
      <c r="AO12" s="1410"/>
      <c r="AP12" s="1410"/>
      <c r="AQ12" s="1410"/>
      <c r="AR12" s="1410"/>
      <c r="AS12" s="1410"/>
      <c r="AT12" s="1410"/>
      <c r="AU12" s="1411" t="str">
        <f>AX8&amp;"-"&amp;AZ8</f>
        <v>-</v>
      </c>
      <c r="AV12" s="1410"/>
      <c r="AW12" s="1411" t="str">
        <f>AZ8&amp;"-"&amp;BB8</f>
        <v>-</v>
      </c>
      <c r="AX12" s="1410"/>
      <c r="AY12" s="1410"/>
      <c r="AZ12" s="1410"/>
      <c r="BA12" s="1410"/>
      <c r="BB12" s="1413" t="str">
        <f>BE8&amp;"-"&amp;BG8</f>
        <v>-</v>
      </c>
      <c r="BC12" s="2120"/>
      <c r="BE12" s="496"/>
      <c r="BF12" s="496" t="str">
        <f>IF(T12="","",T12)</f>
        <v/>
      </c>
      <c r="BG12" s="496"/>
      <c r="BH12" s="496"/>
    </row>
    <row customHeight="1" ht="11.25" hidden="1">
      <c r="A13" s="1380"/>
      <c r="B13" s="1380"/>
      <c r="C13" s="1380"/>
      <c r="D13" s="1380"/>
      <c r="E13" s="2090"/>
      <c r="F13" s="2090"/>
      <c r="G13" s="2090"/>
      <c r="H13" s="2090"/>
      <c r="I13" s="2092"/>
      <c r="J13" s="2091"/>
      <c r="K13" s="1380"/>
      <c r="L13" s="1381"/>
      <c r="P13" s="2093"/>
      <c r="Q13" s="2093"/>
      <c r="R13" s="344"/>
      <c r="S13" s="1295"/>
      <c r="T13" s="268" t="s">
        <v>474</v>
      </c>
      <c r="U13" s="359"/>
      <c r="V13" s="359"/>
      <c r="W13" s="359"/>
      <c r="X13" s="359"/>
      <c r="Y13" s="359"/>
      <c r="Z13" s="359"/>
      <c r="AA13" s="359"/>
      <c r="AB13" s="359"/>
      <c r="AC13" s="359"/>
      <c r="AD13" s="1522"/>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1"/>
      <c r="BE13" s="496"/>
      <c r="BF13" s="496" t="str">
        <f>IF(T13="","",T13)</f>
        <v>Добавить строку</v>
      </c>
      <c r="BG13" s="496"/>
      <c r="BH13" s="496"/>
    </row>
    <row s="1667" customFormat="1" customHeight="1" ht="14.25" hidden="1">
      <c r="A14" s="1360"/>
      <c r="B14" s="1360"/>
      <c r="C14" s="1360"/>
      <c r="D14" s="1360"/>
      <c r="E14" s="2090"/>
      <c r="F14" s="2090"/>
      <c r="G14" s="2090"/>
      <c r="H14" s="2090"/>
      <c r="I14" s="2091"/>
      <c r="J14" s="1360"/>
      <c r="K14" s="1360"/>
      <c r="L14" s="1363"/>
      <c r="M14" s="506"/>
      <c r="N14" s="506"/>
      <c r="O14" s="506"/>
      <c r="P14" s="2093"/>
      <c r="Q14" s="1479"/>
      <c r="R14" s="344"/>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5"/>
      <c r="AV14" s="1405"/>
      <c r="AW14" s="1405"/>
      <c r="AX14" s="1405"/>
      <c r="AY14" s="1405"/>
      <c r="AZ14" s="1405"/>
      <c r="BA14" s="1405"/>
      <c r="BB14" s="1405"/>
      <c r="BC14" s="1406"/>
      <c r="BE14" s="496"/>
      <c r="BF14" s="496" t="str">
        <f>IF(T14="","",T14)</f>
        <v/>
      </c>
      <c r="BG14" s="496"/>
      <c r="BH14" s="496"/>
    </row>
    <row s="1667" customFormat="1" customHeight="1" ht="14.25" hidden="1">
      <c r="A15" s="1360"/>
      <c r="B15" s="1360"/>
      <c r="C15" s="1360"/>
      <c r="D15" s="1360"/>
      <c r="E15" s="2090"/>
      <c r="F15" s="2090"/>
      <c r="G15" s="2090"/>
      <c r="H15" s="2089"/>
      <c r="I15" s="1360"/>
      <c r="J15" s="1360"/>
      <c r="K15" s="1360"/>
      <c r="L15" s="1363"/>
      <c r="M15" s="1332"/>
      <c r="N15" s="1332"/>
      <c r="O15" s="514"/>
      <c r="P15" s="376"/>
      <c r="Q15" s="1361"/>
      <c r="R15" s="1418"/>
      <c r="S15" s="1403"/>
      <c r="T15" s="1404"/>
      <c r="U15" s="1405"/>
      <c r="V15" s="1405"/>
      <c r="W15" s="1405"/>
      <c r="X15" s="1405"/>
      <c r="Y15" s="1405"/>
      <c r="Z15" s="1405"/>
      <c r="AA15" s="1405"/>
      <c r="AB15" s="1405"/>
      <c r="AC15" s="1405"/>
      <c r="AD15" s="1405"/>
      <c r="AE15" s="1405"/>
      <c r="AF15" s="1405"/>
      <c r="AG15" s="1405"/>
      <c r="AH15" s="1405"/>
      <c r="AI15" s="1405"/>
      <c r="AJ15" s="1405"/>
      <c r="AK15" s="1405"/>
      <c r="AL15" s="1405"/>
      <c r="AM15" s="1405"/>
      <c r="AN15" s="1405"/>
      <c r="AO15" s="1405"/>
      <c r="AP15" s="1405"/>
      <c r="AQ15" s="1405"/>
      <c r="AR15" s="1405"/>
      <c r="AS15" s="1405"/>
      <c r="AT15" s="1405"/>
      <c r="AU15" s="1405"/>
      <c r="AV15" s="1405"/>
      <c r="AW15" s="1405"/>
      <c r="AX15" s="1405"/>
      <c r="AY15" s="1405"/>
      <c r="AZ15" s="1405"/>
      <c r="BA15" s="1405"/>
      <c r="BB15" s="1405"/>
      <c r="BC15" s="1406"/>
      <c r="BE15" s="496"/>
      <c r="BF15" s="496" t="str">
        <f>IF(T15="","",T15)</f>
        <v/>
      </c>
      <c r="BG15" s="496"/>
      <c r="BH15" s="496"/>
    </row>
    <row s="1667" customFormat="1" customHeight="1" ht="14.25" hidden="1">
      <c r="A16" s="1360"/>
      <c r="B16" s="1360"/>
      <c r="C16" s="1360"/>
      <c r="D16" s="1331"/>
      <c r="E16" s="2090"/>
      <c r="F16" s="2090"/>
      <c r="G16" s="2089"/>
      <c r="H16" s="1331"/>
      <c r="I16" s="1331"/>
      <c r="J16" s="1331"/>
      <c r="K16" s="1331"/>
      <c r="L16" s="1481"/>
      <c r="M16" s="1332"/>
      <c r="N16" s="1332"/>
      <c r="P16" s="1333"/>
      <c r="Q16" s="1334"/>
      <c r="R16" s="1333"/>
      <c r="S16" s="1339"/>
      <c r="T16" s="1342"/>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V16" s="1341"/>
      <c r="AW16" s="1341"/>
      <c r="AX16" s="1341"/>
      <c r="AY16" s="1341"/>
      <c r="AZ16" s="1341"/>
      <c r="BA16" s="1341"/>
      <c r="BB16" s="1341"/>
      <c r="BC16" s="1341"/>
      <c r="BE16" s="783"/>
      <c r="BF16" s="783" t="str">
        <f>IF(T16="","",T16)</f>
        <v/>
      </c>
      <c r="BG16" s="783"/>
      <c r="BH16" s="783"/>
    </row>
    <row s="1667" customFormat="1" customHeight="1" ht="14.25" hidden="1">
      <c r="A17" s="1360"/>
      <c r="B17" s="1360"/>
      <c r="C17" s="1331"/>
      <c r="D17" s="1331"/>
      <c r="E17" s="2090"/>
      <c r="F17" s="2089"/>
      <c r="G17" s="1331"/>
      <c r="H17" s="1331"/>
      <c r="I17" s="1331"/>
      <c r="J17" s="1331"/>
      <c r="K17" s="1331"/>
      <c r="L17" s="1481"/>
      <c r="M17" s="1338"/>
      <c r="N17" s="1338"/>
      <c r="P17" s="1333"/>
      <c r="Q17" s="1334"/>
      <c r="R17" s="1333"/>
      <c r="S17" s="1339"/>
      <c r="T17" s="1342" t="s">
        <v>167</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V17" s="1341"/>
      <c r="AW17" s="1341"/>
      <c r="AX17" s="1341"/>
      <c r="AY17" s="1341"/>
      <c r="AZ17" s="1341"/>
      <c r="BA17" s="1341"/>
      <c r="BB17" s="1341"/>
      <c r="BC17" s="1341"/>
      <c r="BE17" s="783"/>
      <c r="BF17" s="783" t="str">
        <f>IF(T17="","",T17)</f>
        <v>Добавить централизованную систему для дифференциации</v>
      </c>
      <c r="BG17" s="783"/>
      <c r="BH17" s="783"/>
    </row>
    <row s="1667" customFormat="1" customHeight="1" ht="14.25" hidden="1">
      <c r="A18" s="1360"/>
      <c r="B18" s="1360"/>
      <c r="C18" s="1360"/>
      <c r="D18" s="1360"/>
      <c r="E18" s="2089"/>
      <c r="F18" s="1360"/>
      <c r="G18" s="1360"/>
      <c r="H18" s="1360"/>
      <c r="I18" s="1360"/>
      <c r="J18" s="1360"/>
      <c r="K18" s="1360"/>
      <c r="L18" s="1363"/>
      <c r="M18" s="1338"/>
      <c r="N18" s="1338"/>
      <c r="O18" s="514"/>
      <c r="P18" s="376"/>
      <c r="Q18" s="1361"/>
      <c r="R18" s="376"/>
      <c r="S18" s="1339"/>
      <c r="T18" s="1342" t="s">
        <v>168</v>
      </c>
      <c r="U18" s="1341"/>
      <c r="V18" s="1341"/>
      <c r="W18" s="1341"/>
      <c r="X18" s="1341"/>
      <c r="Y18" s="1341"/>
      <c r="Z18" s="1341"/>
      <c r="AA18" s="1341"/>
      <c r="AB18" s="1341"/>
      <c r="AC18" s="1341"/>
      <c r="AD18" s="1341"/>
      <c r="AE18" s="1341"/>
      <c r="AF18" s="1341"/>
      <c r="AG18" s="1341"/>
      <c r="AH18" s="1341"/>
      <c r="AI18" s="1341"/>
      <c r="AJ18" s="1341"/>
      <c r="AK18" s="1341"/>
      <c r="AL18" s="1341"/>
      <c r="AM18" s="1341"/>
      <c r="AN18" s="1341"/>
      <c r="AO18" s="1341"/>
      <c r="AP18" s="1341"/>
      <c r="AQ18" s="1341"/>
      <c r="AR18" s="1341"/>
      <c r="AS18" s="1341"/>
      <c r="AT18" s="1341"/>
      <c r="AU18" s="1341"/>
      <c r="AV18" s="1341"/>
      <c r="AW18" s="1341"/>
      <c r="AX18" s="1341"/>
      <c r="AY18" s="1341"/>
      <c r="AZ18" s="1341"/>
      <c r="BA18" s="1341"/>
      <c r="BB18" s="1341"/>
      <c r="BC18" s="1341"/>
      <c r="BE18" s="496"/>
      <c r="BF18" s="496" t="str">
        <f>IF(T18="","",T18)</f>
        <v>Добавить территорию для дифференциации</v>
      </c>
      <c r="BG18" s="496"/>
      <c r="BH18" s="496"/>
    </row>
    <row customHeight="1" ht="14.25" hidden="1">
      <c r="AC19" s="315"/>
      <c r="BA19" s="315"/>
    </row>
    <row customHeight="1" ht="14.25" hidden="1">
      <c r="AD20" s="1341" t="s">
        <v>56</v>
      </c>
      <c r="AE20" s="1518"/>
      <c r="AF20" s="544">
        <v>1</v>
      </c>
      <c r="AG20" s="1519"/>
      <c r="AH20" s="1341" t="s">
        <v>56</v>
      </c>
      <c r="AI20" s="1518"/>
      <c r="AJ20" s="544">
        <v>1</v>
      </c>
      <c r="AK20" s="1519"/>
      <c r="AL20" s="1341" t="s">
        <v>56</v>
      </c>
      <c r="AM20" s="1520"/>
      <c r="AN20" s="544">
        <v>1</v>
      </c>
      <c r="AO20" s="1521"/>
      <c r="AP20" s="1341" t="s">
        <v>56</v>
      </c>
      <c r="AQ20" s="1520"/>
      <c r="AR20" s="544">
        <v>1</v>
      </c>
      <c r="AS20" s="1521"/>
      <c r="AT20" s="312"/>
      <c r="AU20" s="381"/>
      <c r="AV20" s="312"/>
      <c r="AW20" s="381"/>
      <c r="AX20" s="1760"/>
      <c r="AY20" s="1477" t="s">
        <v>66</v>
      </c>
      <c r="AZ20" s="1760"/>
      <c r="BA20" s="1477" t="s">
        <v>66</v>
      </c>
    </row>
    <row customHeight="1" ht="14.25" hidden="1">
      <c r="BD21" s="492"/>
      <c r="BE21" s="492"/>
      <c r="BF21" s="492"/>
      <c r="BG21" s="492"/>
      <c r="BH21" s="492"/>
    </row>
    <row customHeight="1" ht="14.25" hidden="1">
      <c r="O22" s="1384" t="s">
        <v>421</v>
      </c>
      <c r="Z22" s="1362"/>
      <c r="AB22" s="1362"/>
      <c r="AC22" s="315"/>
      <c r="AX22" s="1362"/>
      <c r="AZ22" s="1362"/>
      <c r="BA22" s="315"/>
      <c r="BD22" s="492"/>
      <c r="BE22" s="492"/>
      <c r="BF22" s="492"/>
      <c r="BG22" s="492"/>
      <c r="BH22" s="492"/>
    </row>
    <row customHeight="1" ht="14.25" hidden="1">
      <c r="AC23" s="315"/>
      <c r="BA23" s="315"/>
      <c r="BD23" s="492"/>
      <c r="BE23" s="492"/>
      <c r="BF23" s="492"/>
      <c r="BG23" s="492"/>
      <c r="BH23" s="492"/>
    </row>
    <row s="1526" customFormat="1" customHeight="1" ht="14.25" hidden="1">
      <c r="M24" s="1525"/>
      <c r="N24" s="1525"/>
      <c r="O24" s="1526" t="s">
        <v>422</v>
      </c>
      <c r="P24" s="1525"/>
      <c r="Q24" s="1527"/>
      <c r="R24" s="1527"/>
      <c r="AA24" s="1524" t="s">
        <v>424</v>
      </c>
      <c r="AC24" s="1524" t="s">
        <v>425</v>
      </c>
      <c r="AD24" s="1524" t="s">
        <v>475</v>
      </c>
      <c r="AH24" s="1524" t="s">
        <v>475</v>
      </c>
      <c r="AK24" s="1524" t="s">
        <v>511</v>
      </c>
      <c r="AL24" s="1524" t="s">
        <v>475</v>
      </c>
      <c r="AP24" s="1524" t="s">
        <v>475</v>
      </c>
      <c r="AY24" s="1524" t="s">
        <v>424</v>
      </c>
      <c r="BA24" s="1524" t="s">
        <v>425</v>
      </c>
      <c r="BD24" s="1528"/>
      <c r="BE24" s="1528"/>
      <c r="BF24" s="1528"/>
      <c r="BG24" s="1528"/>
      <c r="BH24" s="1528"/>
    </row>
    <row customHeight="1" ht="14.25" hidden="1">
      <c r="O25" s="1381"/>
      <c r="BD25" s="492"/>
      <c r="BE25" s="492"/>
      <c r="BF25" s="492"/>
      <c r="BG25" s="492"/>
      <c r="BH25" s="492"/>
    </row>
    <row customHeight="1" ht="14.25" hidden="1">
      <c r="O26" s="1381"/>
      <c r="BD26" s="492"/>
      <c r="BE26" s="492"/>
      <c r="BF26" s="492"/>
      <c r="BG26" s="492"/>
      <c r="BH26" s="492"/>
    </row>
    <row customHeight="1" ht="14.25">
      <c r="Q27" s="272"/>
      <c r="R27" s="368"/>
      <c r="S27" s="1292"/>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2"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122"/>
      <c r="U28" s="2122"/>
      <c r="V28" s="2122"/>
      <c r="W28" s="2122"/>
      <c r="X28" s="2122"/>
      <c r="Y28" s="2122"/>
      <c r="Z28" s="2122"/>
      <c r="AA28" s="2122"/>
      <c r="AB28" s="2122"/>
      <c r="AC28" s="2122"/>
      <c r="AD28" s="2122"/>
      <c r="AE28" s="2122"/>
      <c r="AF28" s="2122"/>
      <c r="AG28" s="2122"/>
      <c r="AH28" s="2122"/>
      <c r="AI28" s="2122"/>
      <c r="AJ28" s="2122"/>
      <c r="AK28" s="2122"/>
      <c r="AL28" s="2122"/>
      <c r="AM28" s="2122"/>
      <c r="AN28" s="2122"/>
      <c r="AO28" s="2122"/>
      <c r="AP28" s="2122"/>
      <c r="AQ28" s="2122"/>
      <c r="AR28" s="2122"/>
      <c r="AS28" s="2122"/>
      <c r="AT28" s="2122"/>
      <c r="AU28" s="2122"/>
      <c r="AV28" s="2122"/>
      <c r="AW28" s="2122"/>
      <c r="AX28" s="2122"/>
      <c r="AY28" s="2122"/>
      <c r="AZ28" s="2122"/>
      <c r="BA28" s="1248"/>
    </row>
    <row customHeight="1" ht="14.25">
      <c r="Q29" s="272"/>
      <c r="R29" s="368"/>
      <c r="S29" s="2123" t="str">
        <f>IF(org=0,"Не определено",org)</f>
        <v>ООО "ПРОМ ИМПУЛЬС"</v>
      </c>
      <c r="T29" s="2123"/>
      <c r="U29" s="2123"/>
      <c r="V29" s="2123"/>
      <c r="W29" s="2123"/>
      <c r="X29" s="2123"/>
      <c r="Y29" s="2123"/>
      <c r="Z29" s="2123"/>
      <c r="AA29" s="2123"/>
      <c r="AB29" s="2123"/>
      <c r="AC29" s="2123"/>
      <c r="AD29" s="2123"/>
      <c r="AE29" s="2123"/>
      <c r="AF29" s="2123"/>
      <c r="AG29" s="2123"/>
      <c r="AH29" s="2123"/>
      <c r="AI29" s="2123"/>
      <c r="AJ29" s="2123"/>
      <c r="AK29" s="2123"/>
      <c r="AL29" s="2123"/>
      <c r="AM29" s="2123"/>
      <c r="AN29" s="2123"/>
      <c r="AO29" s="2123"/>
      <c r="AP29" s="2123"/>
      <c r="AQ29" s="2123"/>
      <c r="AR29" s="2123"/>
      <c r="AS29" s="2123"/>
      <c r="AT29" s="2123"/>
      <c r="AU29" s="2123"/>
      <c r="AV29" s="2123"/>
      <c r="AW29" s="2123"/>
      <c r="AX29" s="2123"/>
      <c r="AY29" s="2123"/>
      <c r="AZ29" s="2123"/>
      <c r="BA29" s="1248"/>
    </row>
    <row customHeight="1" ht="14.25">
      <c r="Q30" s="272"/>
      <c r="R30" s="368"/>
      <c r="S30" s="1292"/>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7" customFormat="1" customHeight="1" ht="25.5">
      <c r="A31" s="1385"/>
      <c r="B31" s="1385"/>
      <c r="C31" s="1385"/>
      <c r="D31" s="1385"/>
      <c r="E31" s="1385"/>
      <c r="F31" s="1385"/>
      <c r="G31" s="1385"/>
      <c r="H31" s="1385"/>
      <c r="I31" s="1385"/>
      <c r="J31" s="1385"/>
      <c r="K31" s="1385"/>
      <c r="L31" s="1386"/>
      <c r="M31" s="1385"/>
      <c r="N31" s="1385"/>
      <c r="O31" s="1385"/>
      <c r="P31" s="1385"/>
      <c r="Q31" s="1385"/>
      <c r="S31" s="2080" t="s">
        <v>38</v>
      </c>
      <c r="T31" s="2080"/>
      <c r="U31" s="1389"/>
      <c r="V31" s="2082" t="str">
        <f>IF(TITLE_NAME_OR_PR_CHANGE="",IF(TITLE_NAME_OR_PR="","",TITLE_NAME_OR_PR),TITLE_NAME_OR_PR_CHANGE)</f>
        <v>Комитет по тарифам Санкт-Петербурга</v>
      </c>
      <c r="W31" s="2082"/>
      <c r="X31" s="2082"/>
      <c r="Y31" s="2082"/>
      <c r="Z31" s="2082"/>
      <c r="AA31" s="2082"/>
      <c r="AB31" s="2082"/>
      <c r="AC31" s="314"/>
      <c r="AD31" s="2082" t="str">
        <f>IF(TITLE_NAME_OR_PR_CHANGE="",IF(TITLE_NAME_OR_PR="","",TITLE_NAME_OR_PR),TITLE_NAME_OR_PR_CHANGE)</f>
        <v>Комитет по тарифам Санкт-Петербурга</v>
      </c>
      <c r="AE31" s="2082"/>
      <c r="AF31" s="2082"/>
      <c r="AG31" s="2082"/>
      <c r="AH31" s="2082"/>
      <c r="AI31" s="2082"/>
      <c r="AJ31" s="2082"/>
      <c r="AK31" s="2082"/>
      <c r="AL31" s="2082"/>
      <c r="AM31" s="2082"/>
      <c r="AN31" s="2082"/>
      <c r="AO31" s="2082"/>
      <c r="AP31" s="2082"/>
      <c r="AQ31" s="2082"/>
      <c r="AR31" s="2082"/>
      <c r="AS31" s="2082"/>
      <c r="AT31" s="2082"/>
      <c r="AU31" s="2082"/>
      <c r="AV31" s="2082"/>
      <c r="AW31" s="2082"/>
      <c r="AX31" s="2082"/>
      <c r="AY31" s="2082"/>
      <c r="AZ31" s="2082"/>
      <c r="BA31" s="314"/>
      <c r="BB31" s="314"/>
      <c r="BC31" s="261"/>
      <c r="BD31" s="360"/>
      <c r="BE31" s="360"/>
      <c r="BF31" s="360"/>
      <c r="BG31" s="360"/>
      <c r="BH31" s="360"/>
    </row>
    <row s="1877" customFormat="1" customHeight="1" ht="18.75">
      <c r="A32" s="1385"/>
      <c r="B32" s="1385"/>
      <c r="C32" s="1385"/>
      <c r="D32" s="1385"/>
      <c r="E32" s="1385"/>
      <c r="F32" s="1385"/>
      <c r="G32" s="1385"/>
      <c r="H32" s="1385"/>
      <c r="I32" s="1385"/>
      <c r="J32" s="1385"/>
      <c r="K32" s="1385"/>
      <c r="L32" s="1386"/>
      <c r="M32" s="1385"/>
      <c r="N32" s="1385"/>
      <c r="O32" s="1385"/>
      <c r="P32" s="1385"/>
      <c r="Q32" s="1385"/>
      <c r="S32" s="2080" t="s">
        <v>427</v>
      </c>
      <c r="T32" s="2080"/>
      <c r="U32" s="1389"/>
      <c r="V32" s="2081" t="str">
        <f>IF(TITLE_DATE_PR_CHANGE="",IF(TITLE_DATE_PR="","",TITLE_DATE_PR),TITLE_DATE_PR_CHANGE)</f>
        <v>45268.58207175926</v>
      </c>
      <c r="W32" s="2081"/>
      <c r="X32" s="2081"/>
      <c r="Y32" s="2081"/>
      <c r="Z32" s="2081"/>
      <c r="AA32" s="2081"/>
      <c r="AB32" s="2081"/>
      <c r="AC32" s="314"/>
      <c r="AD32" s="2081" t="str">
        <f>IF(TITLE_DATE_PR_CHANGE="",IF(TITLE_DATE_PR="","",TITLE_DATE_PR),TITLE_DATE_PR_CHANGE)</f>
        <v>45268.58207175926</v>
      </c>
      <c r="AE32" s="2081"/>
      <c r="AF32" s="2081"/>
      <c r="AG32" s="2081"/>
      <c r="AH32" s="2081"/>
      <c r="AI32" s="2081"/>
      <c r="AJ32" s="2081"/>
      <c r="AK32" s="2081"/>
      <c r="AL32" s="2081"/>
      <c r="AM32" s="2081"/>
      <c r="AN32" s="2081"/>
      <c r="AO32" s="2081"/>
      <c r="AP32" s="2081"/>
      <c r="AQ32" s="2081"/>
      <c r="AR32" s="2081"/>
      <c r="AS32" s="2081"/>
      <c r="AT32" s="2081"/>
      <c r="AU32" s="2081"/>
      <c r="AV32" s="2081"/>
      <c r="AW32" s="2081"/>
      <c r="AX32" s="2081"/>
      <c r="AY32" s="2081"/>
      <c r="AZ32" s="2081"/>
      <c r="BA32" s="314"/>
      <c r="BB32" s="314"/>
      <c r="BC32" s="261"/>
      <c r="BD32" s="360"/>
      <c r="BE32" s="360"/>
      <c r="BF32" s="360"/>
      <c r="BG32" s="360"/>
      <c r="BH32" s="360"/>
    </row>
    <row s="1877" customFormat="1" customHeight="1" ht="18.75">
      <c r="A33" s="1385"/>
      <c r="B33" s="1385"/>
      <c r="C33" s="1385"/>
      <c r="D33" s="1385"/>
      <c r="E33" s="1385"/>
      <c r="F33" s="1385"/>
      <c r="G33" s="1385"/>
      <c r="H33" s="1385"/>
      <c r="I33" s="1385"/>
      <c r="J33" s="1385"/>
      <c r="K33" s="1385"/>
      <c r="L33" s="1386"/>
      <c r="M33" s="1385"/>
      <c r="N33" s="1385"/>
      <c r="O33" s="1385"/>
      <c r="P33" s="1385"/>
      <c r="Q33" s="1385"/>
      <c r="S33" s="2080" t="s">
        <v>428</v>
      </c>
      <c r="T33" s="2080"/>
      <c r="U33" s="1389"/>
      <c r="V33" s="2082" t="str">
        <f>IF(TITLE_NUMBER_PR_CHANGE="",IF(TITLE_NUMBER_PR="","",TITLE_NUMBER_PR),TITLE_NUMBER_PR_CHANGE)</f>
        <v>237-р</v>
      </c>
      <c r="W33" s="2082"/>
      <c r="X33" s="2082"/>
      <c r="Y33" s="2082"/>
      <c r="Z33" s="2082"/>
      <c r="AA33" s="2082"/>
      <c r="AB33" s="2082"/>
      <c r="AC33" s="314"/>
      <c r="AD33" s="2082" t="str">
        <f>IF(TITLE_NUMBER_PR_CHANGE="",IF(TITLE_NUMBER_PR="","",TITLE_NUMBER_PR),TITLE_NUMBER_PR_CHANGE)</f>
        <v>237-р</v>
      </c>
      <c r="AE33" s="2082"/>
      <c r="AF33" s="2082"/>
      <c r="AG33" s="2082"/>
      <c r="AH33" s="2082"/>
      <c r="AI33" s="2082"/>
      <c r="AJ33" s="2082"/>
      <c r="AK33" s="2082"/>
      <c r="AL33" s="2082"/>
      <c r="AM33" s="2082"/>
      <c r="AN33" s="2082"/>
      <c r="AO33" s="2082"/>
      <c r="AP33" s="2082"/>
      <c r="AQ33" s="2082"/>
      <c r="AR33" s="2082"/>
      <c r="AS33" s="2082"/>
      <c r="AT33" s="2082"/>
      <c r="AU33" s="2082"/>
      <c r="AV33" s="2082"/>
      <c r="AW33" s="2082"/>
      <c r="AX33" s="2082"/>
      <c r="AY33" s="2082"/>
      <c r="AZ33" s="2082"/>
      <c r="BA33" s="314"/>
      <c r="BB33" s="314"/>
      <c r="BC33" s="261"/>
      <c r="BD33" s="360"/>
      <c r="BE33" s="360"/>
      <c r="BF33" s="360"/>
      <c r="BG33" s="360"/>
      <c r="BH33" s="360"/>
    </row>
    <row s="1877" customFormat="1" customHeight="1" ht="18.75">
      <c r="A34" s="1385"/>
      <c r="B34" s="1385"/>
      <c r="C34" s="1385"/>
      <c r="D34" s="1385"/>
      <c r="E34" s="1385"/>
      <c r="F34" s="1385"/>
      <c r="G34" s="1385"/>
      <c r="H34" s="1385"/>
      <c r="I34" s="1385"/>
      <c r="J34" s="1385"/>
      <c r="K34" s="1385"/>
      <c r="L34" s="1386"/>
      <c r="M34" s="1385"/>
      <c r="N34" s="1385"/>
      <c r="O34" s="1385"/>
      <c r="P34" s="1385"/>
      <c r="Q34" s="1385"/>
      <c r="S34" s="2080" t="s">
        <v>40</v>
      </c>
      <c r="T34" s="2080"/>
      <c r="U34" s="1389"/>
      <c r="V34" s="2082" t="str">
        <f>IF(TITLE_IST_PUB_CHANGE="",IF(TITLE_IST_PUB="","",TITLE_IST_PUB),TITLE_IST_PUB_CHANGE)</f>
        <v>https://www.gov.spb.ru/gov/otrasl/energ_kom/inform_/standarty-raskrytiya-informacii-komitetom/teplo/</v>
      </c>
      <c r="W34" s="2082"/>
      <c r="X34" s="2082"/>
      <c r="Y34" s="2082"/>
      <c r="Z34" s="2082"/>
      <c r="AA34" s="2082"/>
      <c r="AB34" s="2082"/>
      <c r="AC34" s="314"/>
      <c r="AD34" s="2082" t="str">
        <f>IF(TITLE_IST_PUB_CHANGE="",IF(TITLE_IST_PUB="","",TITLE_IST_PUB),TITLE_IST_PUB_CHANGE)</f>
        <v>https://www.gov.spb.ru/gov/otrasl/energ_kom/inform_/standarty-raskrytiya-informacii-komitetom/teplo/</v>
      </c>
      <c r="AE34" s="2082"/>
      <c r="AF34" s="2082"/>
      <c r="AG34" s="2082"/>
      <c r="AH34" s="2082"/>
      <c r="AI34" s="2082"/>
      <c r="AJ34" s="2082"/>
      <c r="AK34" s="2082"/>
      <c r="AL34" s="2082"/>
      <c r="AM34" s="2082"/>
      <c r="AN34" s="2082"/>
      <c r="AO34" s="2082"/>
      <c r="AP34" s="2082"/>
      <c r="AQ34" s="2082"/>
      <c r="AR34" s="2082"/>
      <c r="AS34" s="2082"/>
      <c r="AT34" s="2082"/>
      <c r="AU34" s="2082"/>
      <c r="AV34" s="2082"/>
      <c r="AW34" s="2082"/>
      <c r="AX34" s="2082"/>
      <c r="AY34" s="2082"/>
      <c r="AZ34" s="2082"/>
      <c r="BA34" s="314"/>
      <c r="BB34" s="314"/>
      <c r="BC34" s="261"/>
      <c r="BD34" s="360"/>
      <c r="BE34" s="360"/>
      <c r="BF34" s="360"/>
      <c r="BG34" s="360"/>
      <c r="BH34" s="360"/>
    </row>
    <row customHeight="1" ht="14.25" hidden="1">
      <c r="Q35" s="272"/>
      <c r="R35" s="368"/>
      <c r="S35" s="1292"/>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7" customFormat="1" customHeight="1" ht="18.75" hidden="1">
      <c r="A36" s="1385"/>
      <c r="B36" s="1385"/>
      <c r="C36" s="1385"/>
      <c r="D36" s="1385"/>
      <c r="E36" s="1385"/>
      <c r="F36" s="1385"/>
      <c r="G36" s="1385"/>
      <c r="H36" s="1385"/>
      <c r="I36" s="1385"/>
      <c r="J36" s="1385"/>
      <c r="K36" s="1385"/>
      <c r="L36" s="1386"/>
      <c r="M36" s="1385"/>
      <c r="N36" s="1385"/>
      <c r="O36" s="1385"/>
      <c r="P36" s="1385"/>
      <c r="Q36" s="1385"/>
      <c r="S36" s="2080" t="s">
        <v>427</v>
      </c>
      <c r="T36" s="2080"/>
      <c r="U36" s="1389"/>
      <c r="V36" s="2081" t="str">
        <f>IF(TITLE_DATE_PR_CHANGE="",IF(TITLE_DATE_PR="","",TITLE_DATE_PR),TITLE_DATE_PR_CHANGE)</f>
        <v>45268.58207175926</v>
      </c>
      <c r="W36" s="2081"/>
      <c r="X36" s="2081"/>
      <c r="Y36" s="2081"/>
      <c r="Z36" s="2081"/>
      <c r="AA36" s="2081"/>
      <c r="AB36" s="2081"/>
      <c r="AC36" s="314"/>
      <c r="AD36" s="2081" t="str">
        <f>IF(TITLE_DATE_PR_CHANGE="",IF(TITLE_DATE_PR="","",TITLE_DATE_PR),TITLE_DATE_PR_CHANGE)</f>
        <v>45268.58207175926</v>
      </c>
      <c r="AE36" s="2081"/>
      <c r="AF36" s="2081"/>
      <c r="AG36" s="2081"/>
      <c r="AH36" s="2081"/>
      <c r="AI36" s="2081"/>
      <c r="AJ36" s="2081"/>
      <c r="AK36" s="2081"/>
      <c r="AL36" s="2081"/>
      <c r="AM36" s="2081"/>
      <c r="AN36" s="2081"/>
      <c r="AO36" s="2081"/>
      <c r="AP36" s="2081"/>
      <c r="AQ36" s="2081"/>
      <c r="AR36" s="2081"/>
      <c r="AS36" s="2081"/>
      <c r="AT36" s="2081"/>
      <c r="AU36" s="2081"/>
      <c r="AV36" s="2081"/>
      <c r="AW36" s="2081"/>
      <c r="AX36" s="2081"/>
      <c r="AY36" s="2081"/>
      <c r="AZ36" s="2081"/>
      <c r="BA36" s="314"/>
      <c r="BB36" s="314"/>
      <c r="BC36" s="261"/>
      <c r="BD36" s="360"/>
      <c r="BE36" s="360"/>
      <c r="BF36" s="360"/>
      <c r="BG36" s="360"/>
      <c r="BH36" s="360"/>
    </row>
    <row s="1877" customFormat="1" customHeight="1" ht="18.75" hidden="1">
      <c r="A37" s="1385"/>
      <c r="B37" s="1385"/>
      <c r="C37" s="1385"/>
      <c r="D37" s="1385"/>
      <c r="E37" s="1385"/>
      <c r="F37" s="1385"/>
      <c r="G37" s="1385"/>
      <c r="H37" s="1385"/>
      <c r="I37" s="1385"/>
      <c r="J37" s="1385"/>
      <c r="K37" s="1385"/>
      <c r="L37" s="1386"/>
      <c r="M37" s="1385"/>
      <c r="N37" s="1385"/>
      <c r="O37" s="1385"/>
      <c r="P37" s="1385"/>
      <c r="Q37" s="1385"/>
      <c r="S37" s="2080" t="s">
        <v>428</v>
      </c>
      <c r="T37" s="2080"/>
      <c r="U37" s="1389"/>
      <c r="V37" s="2082" t="str">
        <f>IF(TITLE_NUMBER_PR_CHANGE="",IF(TITLE_NUMBER_PR="","",TITLE_NUMBER_PR),TITLE_NUMBER_PR_CHANGE)</f>
        <v>237-р</v>
      </c>
      <c r="W37" s="2082"/>
      <c r="X37" s="2082"/>
      <c r="Y37" s="2082"/>
      <c r="Z37" s="2082"/>
      <c r="AA37" s="2082"/>
      <c r="AB37" s="2082"/>
      <c r="AC37" s="314"/>
      <c r="AD37" s="2082" t="str">
        <f>IF(TITLE_NUMBER_PR_CHANGE="",IF(TITLE_NUMBER_PR="","",TITLE_NUMBER_PR),TITLE_NUMBER_PR_CHANGE)</f>
        <v>237-р</v>
      </c>
      <c r="AE37" s="2082"/>
      <c r="AF37" s="2082"/>
      <c r="AG37" s="2082"/>
      <c r="AH37" s="2082"/>
      <c r="AI37" s="2082"/>
      <c r="AJ37" s="2082"/>
      <c r="AK37" s="2082"/>
      <c r="AL37" s="2082"/>
      <c r="AM37" s="2082"/>
      <c r="AN37" s="2082"/>
      <c r="AO37" s="2082"/>
      <c r="AP37" s="2082"/>
      <c r="AQ37" s="2082"/>
      <c r="AR37" s="2082"/>
      <c r="AS37" s="2082"/>
      <c r="AT37" s="2082"/>
      <c r="AU37" s="2082"/>
      <c r="AV37" s="2082"/>
      <c r="AW37" s="2082"/>
      <c r="AX37" s="2082"/>
      <c r="AY37" s="2082"/>
      <c r="AZ37" s="2082"/>
      <c r="BA37" s="314"/>
      <c r="BB37" s="314"/>
      <c r="BC37" s="261"/>
      <c r="BD37" s="360"/>
      <c r="BE37" s="360"/>
      <c r="BF37" s="360"/>
      <c r="BG37" s="360"/>
      <c r="BH37" s="360"/>
    </row>
    <row s="1877" customFormat="1" customHeight="1" ht="0">
      <c r="A38" s="1385"/>
      <c r="B38" s="1385"/>
      <c r="C38" s="1385"/>
      <c r="D38" s="1385"/>
      <c r="E38" s="1385"/>
      <c r="F38" s="1385"/>
      <c r="G38" s="1385"/>
      <c r="H38" s="1385"/>
      <c r="I38" s="1385"/>
      <c r="J38" s="1385"/>
      <c r="K38" s="1385"/>
      <c r="L38" s="1386"/>
      <c r="M38" s="1385"/>
      <c r="N38" s="1385"/>
      <c r="O38" s="1385"/>
      <c r="P38" s="1385"/>
      <c r="Q38" s="1385"/>
      <c r="S38" s="310"/>
      <c r="T38" s="310"/>
      <c r="U38" s="1471"/>
      <c r="V38" s="314"/>
      <c r="W38" s="314"/>
      <c r="X38" s="314"/>
      <c r="Y38" s="314"/>
      <c r="Z38" s="314"/>
      <c r="AA38" s="314"/>
      <c r="AB38" s="314"/>
      <c r="AC38" s="259" t="s">
        <v>431</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431</v>
      </c>
      <c r="BD38" s="360"/>
      <c r="BE38" s="360"/>
      <c r="BF38" s="360"/>
      <c r="BG38" s="360"/>
      <c r="BH38" s="360"/>
    </row>
    <row customHeight="1" ht="14.25">
      <c r="Q39" s="272"/>
      <c r="R39" s="368"/>
      <c r="S39" s="1292"/>
      <c r="T39" s="353"/>
      <c r="U39" s="1249"/>
      <c r="V39" s="2106"/>
      <c r="W39" s="2106"/>
      <c r="X39" s="2106"/>
      <c r="Y39" s="2106"/>
      <c r="Z39" s="2106"/>
      <c r="AA39" s="2106"/>
      <c r="AB39" s="2106"/>
      <c r="AC39" s="2106"/>
      <c r="AD39" s="2106"/>
      <c r="AE39" s="2106"/>
      <c r="AF39" s="2106"/>
      <c r="AG39" s="2106"/>
      <c r="AH39" s="2106"/>
      <c r="AI39" s="2106"/>
      <c r="AJ39" s="2106"/>
      <c r="AK39" s="2106"/>
      <c r="AL39" s="2106"/>
      <c r="AM39" s="2106"/>
      <c r="AN39" s="2106"/>
      <c r="AO39" s="2106"/>
      <c r="AP39" s="2106"/>
      <c r="AQ39" s="2106"/>
      <c r="AR39" s="2106"/>
      <c r="AS39" s="2106"/>
      <c r="AT39" s="2106"/>
      <c r="AU39" s="2106"/>
      <c r="AV39" s="2106"/>
      <c r="AW39" s="2106"/>
      <c r="AX39" s="2106"/>
      <c r="AY39" s="2106"/>
      <c r="AZ39" s="2106"/>
      <c r="BA39" s="2106"/>
    </row>
    <row customHeight="1" ht="14.25">
      <c r="Q40" s="272"/>
      <c r="R40" s="368"/>
      <c r="S40" s="1953" t="s">
        <v>305</v>
      </c>
      <c r="T40" s="1953"/>
      <c r="U40" s="1953"/>
      <c r="V40" s="1953"/>
      <c r="W40" s="1953"/>
      <c r="X40" s="1953"/>
      <c r="Y40" s="1953"/>
      <c r="Z40" s="1953"/>
      <c r="AA40" s="1953"/>
      <c r="AB40" s="1953"/>
      <c r="AC40" s="1953"/>
      <c r="AD40" s="1953"/>
      <c r="AE40" s="1953"/>
      <c r="AF40" s="1953"/>
      <c r="AG40" s="1953"/>
      <c r="AH40" s="1953"/>
      <c r="AI40" s="1953"/>
      <c r="AJ40" s="1953"/>
      <c r="AK40" s="1953"/>
      <c r="AL40" s="1953"/>
      <c r="AM40" s="1953"/>
      <c r="AN40" s="1953"/>
      <c r="AO40" s="1953"/>
      <c r="AP40" s="1953"/>
      <c r="AQ40" s="1953"/>
      <c r="AR40" s="1953"/>
      <c r="AS40" s="1953"/>
      <c r="AT40" s="1953"/>
      <c r="AU40" s="1953"/>
      <c r="AV40" s="1953"/>
      <c r="AW40" s="1953"/>
      <c r="AX40" s="1953"/>
      <c r="AY40" s="1953"/>
      <c r="AZ40" s="1953"/>
      <c r="BA40" s="1953"/>
      <c r="BB40" s="1953"/>
      <c r="BC40" s="1953" t="s">
        <v>306</v>
      </c>
    </row>
    <row customHeight="1" ht="14.25">
      <c r="Q41" s="272"/>
      <c r="R41" s="368"/>
      <c r="S41" s="2107" t="s">
        <v>87</v>
      </c>
      <c r="T41" s="2044" t="s">
        <v>512</v>
      </c>
      <c r="U41" s="281"/>
      <c r="V41" s="2108" t="s">
        <v>433</v>
      </c>
      <c r="W41" s="2109"/>
      <c r="X41" s="2109"/>
      <c r="Y41" s="2109"/>
      <c r="Z41" s="2109"/>
      <c r="AA41" s="2109"/>
      <c r="AB41" s="2110"/>
      <c r="AC41" s="2111" t="s">
        <v>434</v>
      </c>
      <c r="AD41" s="2155" t="s">
        <v>513</v>
      </c>
      <c r="AE41" s="2128"/>
      <c r="AF41" s="2128"/>
      <c r="AG41" s="2156"/>
      <c r="AH41" s="2155" t="s">
        <v>514</v>
      </c>
      <c r="AI41" s="2128"/>
      <c r="AJ41" s="2128"/>
      <c r="AK41" s="2156"/>
      <c r="AL41" s="2155" t="s">
        <v>515</v>
      </c>
      <c r="AM41" s="2128"/>
      <c r="AN41" s="2128"/>
      <c r="AO41" s="2156"/>
      <c r="AP41" s="2155" t="s">
        <v>516</v>
      </c>
      <c r="AQ41" s="2128"/>
      <c r="AR41" s="2128"/>
      <c r="AS41" s="2156"/>
      <c r="AT41" s="2108" t="s">
        <v>433</v>
      </c>
      <c r="AU41" s="2109"/>
      <c r="AV41" s="2109"/>
      <c r="AW41" s="2109"/>
      <c r="AX41" s="2109"/>
      <c r="AY41" s="2109"/>
      <c r="AZ41" s="2110"/>
      <c r="BA41" s="2111" t="s">
        <v>434</v>
      </c>
      <c r="BB41" s="2114" t="s">
        <v>436</v>
      </c>
      <c r="BC41" s="1953"/>
    </row>
    <row customHeight="1" ht="33.75">
      <c r="Q42" s="272"/>
      <c r="R42" s="368"/>
      <c r="S42" s="2107"/>
      <c r="T42" s="2044"/>
      <c r="U42" s="1026"/>
      <c r="V42" s="2011" t="s">
        <v>517</v>
      </c>
      <c r="W42" s="2012"/>
      <c r="X42" s="2011" t="s">
        <v>518</v>
      </c>
      <c r="Y42" s="2012"/>
      <c r="Z42" s="2126" t="s">
        <v>519</v>
      </c>
      <c r="AA42" s="2144"/>
      <c r="AB42" s="2145"/>
      <c r="AC42" s="2112"/>
      <c r="AD42" s="2157"/>
      <c r="AE42" s="2158"/>
      <c r="AF42" s="2158"/>
      <c r="AG42" s="2170"/>
      <c r="AH42" s="2157"/>
      <c r="AI42" s="2158"/>
      <c r="AJ42" s="2158"/>
      <c r="AK42" s="2170"/>
      <c r="AL42" s="2157"/>
      <c r="AM42" s="2158"/>
      <c r="AN42" s="2158"/>
      <c r="AO42" s="2170"/>
      <c r="AP42" s="2157"/>
      <c r="AQ42" s="2158"/>
      <c r="AR42" s="2158"/>
      <c r="AS42" s="2170"/>
      <c r="AT42" s="2011" t="s">
        <v>517</v>
      </c>
      <c r="AU42" s="2012"/>
      <c r="AV42" s="2011" t="s">
        <v>518</v>
      </c>
      <c r="AW42" s="2012"/>
      <c r="AX42" s="2126" t="s">
        <v>519</v>
      </c>
      <c r="AY42" s="2144"/>
      <c r="AZ42" s="2145"/>
      <c r="BA42" s="2112"/>
      <c r="BB42" s="2115"/>
      <c r="BC42" s="1953"/>
    </row>
    <row customHeight="1" ht="14.25">
      <c r="Q43" s="272"/>
      <c r="R43" s="368"/>
      <c r="S43" s="2107"/>
      <c r="T43" s="2044"/>
      <c r="U43" s="1026"/>
      <c r="V43" s="2019"/>
      <c r="W43" s="2020"/>
      <c r="X43" s="2019"/>
      <c r="Y43" s="2020"/>
      <c r="Z43" s="2127"/>
      <c r="AA43" s="2146"/>
      <c r="AB43" s="2147"/>
      <c r="AC43" s="2112"/>
      <c r="AD43" s="2157"/>
      <c r="AE43" s="2158"/>
      <c r="AF43" s="2158"/>
      <c r="AG43" s="2170"/>
      <c r="AH43" s="2157"/>
      <c r="AI43" s="2158"/>
      <c r="AJ43" s="2158"/>
      <c r="AK43" s="2170"/>
      <c r="AL43" s="2157"/>
      <c r="AM43" s="2158"/>
      <c r="AN43" s="2158"/>
      <c r="AO43" s="2170"/>
      <c r="AP43" s="2157"/>
      <c r="AQ43" s="2158"/>
      <c r="AR43" s="2158"/>
      <c r="AS43" s="2170"/>
      <c r="AT43" s="2019"/>
      <c r="AU43" s="2020"/>
      <c r="AV43" s="2019"/>
      <c r="AW43" s="2020"/>
      <c r="AX43" s="2127"/>
      <c r="AY43" s="2146"/>
      <c r="AZ43" s="2147"/>
      <c r="BA43" s="2112"/>
      <c r="BB43" s="2115"/>
      <c r="BC43" s="1953"/>
    </row>
    <row customHeight="1" ht="14.25">
      <c r="A44" s="1387"/>
      <c r="B44" s="1387" t="s">
        <v>134</v>
      </c>
      <c r="C44" s="1387" t="s">
        <v>135</v>
      </c>
      <c r="D44" s="1387" t="s">
        <v>136</v>
      </c>
      <c r="E44" s="1381" t="s">
        <v>441</v>
      </c>
      <c r="F44" s="1381" t="s">
        <v>442</v>
      </c>
      <c r="G44" s="1381" t="s">
        <v>443</v>
      </c>
      <c r="H44" s="1381" t="s">
        <v>444</v>
      </c>
      <c r="I44" s="1381" t="s">
        <v>445</v>
      </c>
      <c r="J44" s="1381" t="s">
        <v>446</v>
      </c>
      <c r="K44" s="1381" t="s">
        <v>447</v>
      </c>
      <c r="L44" s="1381" t="s">
        <v>422</v>
      </c>
      <c r="Q44" s="272"/>
      <c r="R44" s="368"/>
      <c r="S44" s="2107"/>
      <c r="T44" s="2044"/>
      <c r="U44" s="282"/>
      <c r="V44" s="1465" t="s">
        <v>485</v>
      </c>
      <c r="W44" s="1465" t="s">
        <v>486</v>
      </c>
      <c r="X44" s="1465" t="s">
        <v>485</v>
      </c>
      <c r="Y44" s="1465" t="s">
        <v>486</v>
      </c>
      <c r="Z44" s="1472" t="s">
        <v>450</v>
      </c>
      <c r="AA44" s="2103" t="s">
        <v>451</v>
      </c>
      <c r="AB44" s="2104"/>
      <c r="AC44" s="2113"/>
      <c r="AD44" s="2159"/>
      <c r="AE44" s="2160"/>
      <c r="AF44" s="2160"/>
      <c r="AG44" s="2161"/>
      <c r="AH44" s="2159"/>
      <c r="AI44" s="2160"/>
      <c r="AJ44" s="2160"/>
      <c r="AK44" s="2161"/>
      <c r="AL44" s="2159"/>
      <c r="AM44" s="2160"/>
      <c r="AN44" s="2160"/>
      <c r="AO44" s="2161"/>
      <c r="AP44" s="2159"/>
      <c r="AQ44" s="2160"/>
      <c r="AR44" s="2160"/>
      <c r="AS44" s="2161"/>
      <c r="AT44" s="1465" t="s">
        <v>485</v>
      </c>
      <c r="AU44" s="1465" t="s">
        <v>486</v>
      </c>
      <c r="AV44" s="1465" t="s">
        <v>485</v>
      </c>
      <c r="AW44" s="1465" t="s">
        <v>486</v>
      </c>
      <c r="AX44" s="1472" t="s">
        <v>450</v>
      </c>
      <c r="AY44" s="2103" t="s">
        <v>451</v>
      </c>
      <c r="AZ44" s="2104"/>
      <c r="BA44" s="2113"/>
      <c r="BB44" s="2116"/>
      <c r="BC44" s="1953"/>
    </row>
    <row s="1666" customFormat="1" customHeight="1" ht="11.25" hidden="1">
      <c r="A45" s="1387"/>
      <c r="B45" s="1387"/>
      <c r="C45" s="1387"/>
      <c r="D45" s="1387"/>
      <c r="E45" s="1387"/>
      <c r="F45" s="1387"/>
      <c r="G45" s="1387"/>
      <c r="H45" s="1387"/>
      <c r="I45" s="1387"/>
      <c r="J45" s="1387"/>
      <c r="K45" s="1387"/>
      <c r="L45" s="1381"/>
      <c r="M45" s="1379"/>
      <c r="N45" s="1379"/>
      <c r="O45" s="1379"/>
      <c r="P45" s="506"/>
      <c r="Q45" s="1267"/>
      <c r="R45" s="1267">
        <v>1</v>
      </c>
      <c r="S45" s="1294" t="s">
        <v>108</v>
      </c>
      <c r="T45" s="1268" t="s">
        <v>109</v>
      </c>
      <c r="U45" s="1250" t="str">
        <f>OFFSET(U45,0,-1)</f>
        <v>2</v>
      </c>
      <c r="V45" s="1468">
        <f>OFFSET(V45,0,-1)+1</f>
        <v>3</v>
      </c>
      <c r="W45" s="1468">
        <f>OFFSET(W45,0,-1)+1</f>
        <v>4</v>
      </c>
      <c r="X45" s="1468">
        <f>OFFSET(X45,0,-1)+1</f>
        <v>5</v>
      </c>
      <c r="Y45" s="1468">
        <f>OFFSET(Y45,0,-1)+1</f>
        <v>6</v>
      </c>
      <c r="Z45" s="1468">
        <f>OFFSET(Z45,0,-1)+1</f>
        <v>7</v>
      </c>
      <c r="AA45" s="2105">
        <f>OFFSET(AA45,0,-1)+1</f>
        <v>8</v>
      </c>
      <c r="AB45" s="2105"/>
      <c r="AC45" s="1468">
        <f>OFFSET(AC45,0,-2)+1</f>
        <v>9</v>
      </c>
      <c r="AD45" s="1468">
        <f>OFFSET(AD45,0,-1)+1</f>
        <v>10</v>
      </c>
      <c r="AE45" s="1468"/>
      <c r="AF45" s="1468"/>
      <c r="AG45" s="1468"/>
      <c r="AH45" s="1468"/>
      <c r="AI45" s="1468"/>
      <c r="AJ45" s="1468"/>
      <c r="AK45" s="1468"/>
      <c r="AL45" s="1468"/>
      <c r="AM45" s="1468"/>
      <c r="AN45" s="1468"/>
      <c r="AO45" s="1468"/>
      <c r="AP45" s="1468"/>
      <c r="AQ45" s="1468"/>
      <c r="AR45" s="1468"/>
      <c r="AS45" s="1468"/>
      <c r="AT45" s="1468"/>
      <c r="AU45" s="1468"/>
      <c r="AV45" s="1468"/>
      <c r="AW45" s="1468">
        <f>OFFSET(AW45,0,-1)+1</f>
        <v>1</v>
      </c>
      <c r="AX45" s="1468">
        <f>OFFSET(AX45,0,-1)+1</f>
        <v>2</v>
      </c>
      <c r="AY45" s="2105">
        <f>OFFSET(AY45,0,-1)+1</f>
        <v>3</v>
      </c>
      <c r="AZ45" s="2105"/>
      <c r="BA45" s="1468">
        <f>OFFSET(BA45,0,-2)+1</f>
        <v>4</v>
      </c>
      <c r="BB45" s="1250">
        <f>OFFSET(BB45,0,-1)</f>
        <v>4</v>
      </c>
      <c r="BC45" s="1468">
        <f>OFFSET(BC45,0,-1)+1</f>
        <v>5</v>
      </c>
      <c r="BD45" s="507"/>
      <c r="BE45" s="507"/>
      <c r="BF45" s="507"/>
      <c r="BG45" s="507"/>
      <c r="BH45" s="507"/>
    </row>
    <row customHeight="1" ht="21">
      <c r="A46" s="1380" t="s">
        <v>251</v>
      </c>
      <c r="B46" s="1380"/>
      <c r="C46" s="1380"/>
      <c r="D46" s="1380"/>
      <c r="E46" s="2089">
        <v>1</v>
      </c>
      <c r="F46" s="1380"/>
      <c r="G46" s="1380"/>
      <c r="H46" s="1380"/>
      <c r="I46" s="1380"/>
      <c r="J46" s="1380"/>
      <c r="K46" s="1380"/>
      <c r="L46" s="1381"/>
      <c r="M46" s="1382"/>
      <c r="N46" s="1382"/>
      <c r="O46" s="1382"/>
      <c r="P46" s="1426"/>
      <c r="Q46" s="867"/>
      <c r="R46" s="343"/>
      <c r="S46" s="1474">
        <f>INDEX(PT_DIFFERENTIATION_NUM_NTAR,MATCH(A46,PT_DIFFERENTIATION_NTAR_ID,0))</f>
        <v>0</v>
      </c>
      <c r="T46" s="278" t="s">
        <v>122</v>
      </c>
      <c r="U46" s="280"/>
      <c r="V46" s="2084"/>
      <c r="W46" s="2084"/>
      <c r="X46" s="2084"/>
      <c r="Y46" s="2084"/>
      <c r="Z46" s="2084"/>
      <c r="AA46" s="2084"/>
      <c r="AB46" s="2084"/>
      <c r="AC46" s="2085"/>
      <c r="AD46" s="2083" t="str">
        <f>INDEX(PT_DIFFERENTIATION_NTAR,MATCH(A46,PT_DIFFERENTIATION_NTAR_ID,0))</f>
        <v/>
      </c>
      <c r="AE46" s="2084"/>
      <c r="AF46" s="2084"/>
      <c r="AG46" s="2084"/>
      <c r="AH46" s="2084"/>
      <c r="AI46" s="2084"/>
      <c r="AJ46" s="2084"/>
      <c r="AK46" s="2084"/>
      <c r="AL46" s="2084"/>
      <c r="AM46" s="2084"/>
      <c r="AN46" s="2084"/>
      <c r="AO46" s="2084"/>
      <c r="AP46" s="2084"/>
      <c r="AQ46" s="2084"/>
      <c r="AR46" s="2084"/>
      <c r="AS46" s="2084"/>
      <c r="AT46" s="2084"/>
      <c r="AU46" s="2084"/>
      <c r="AV46" s="2084"/>
      <c r="AW46" s="2084"/>
      <c r="AX46" s="2084"/>
      <c r="AY46" s="2084"/>
      <c r="AZ46" s="2084"/>
      <c r="BA46" s="2084"/>
      <c r="BB46" s="2085"/>
      <c r="BC46"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0" t="s">
        <v>251</v>
      </c>
      <c r="B47" s="1380" t="s">
        <v>252</v>
      </c>
      <c r="C47" s="1380"/>
      <c r="D47" s="1380"/>
      <c r="E47" s="2090"/>
      <c r="F47" s="2089">
        <v>1</v>
      </c>
      <c r="G47" s="1380"/>
      <c r="H47" s="1380"/>
      <c r="I47" s="1380"/>
      <c r="J47" s="1380"/>
      <c r="K47" s="1380"/>
      <c r="L47" s="1381"/>
      <c r="M47" s="1382"/>
      <c r="N47" s="1382"/>
      <c r="O47" s="1382"/>
      <c r="P47" s="1427"/>
      <c r="Q47" s="1428"/>
      <c r="R47" s="341"/>
      <c r="S47" s="1474" t="str">
        <f>INDEX(PT_DIFFERENTIATION_NUM_TER,MATCH(B47,PT_DIFFERENTIATION_TER_ID,0))</f>
        <v>.</v>
      </c>
      <c r="T47" s="290" t="s">
        <v>404</v>
      </c>
      <c r="U47" s="280"/>
      <c r="V47" s="2084"/>
      <c r="W47" s="2084"/>
      <c r="X47" s="2084"/>
      <c r="Y47" s="2084"/>
      <c r="Z47" s="2084"/>
      <c r="AA47" s="2084"/>
      <c r="AB47" s="2084"/>
      <c r="AC47" s="2085"/>
      <c r="AD47" s="2083" t="str">
        <f>INDEX(PT_DIFFERENTIATION_TER,MATCH(B47,PT_DIFFERENTIATION_TER_ID,0))</f>
        <v/>
      </c>
      <c r="AE47" s="2084"/>
      <c r="AF47" s="2084"/>
      <c r="AG47" s="2084"/>
      <c r="AH47" s="2084"/>
      <c r="AI47" s="2084"/>
      <c r="AJ47" s="2084"/>
      <c r="AK47" s="2084"/>
      <c r="AL47" s="2084"/>
      <c r="AM47" s="2084"/>
      <c r="AN47" s="2084"/>
      <c r="AO47" s="2084"/>
      <c r="AP47" s="2084"/>
      <c r="AQ47" s="2084"/>
      <c r="AR47" s="2084"/>
      <c r="AS47" s="2084"/>
      <c r="AT47" s="2084"/>
      <c r="AU47" s="2084"/>
      <c r="AV47" s="2084"/>
      <c r="AW47" s="2084"/>
      <c r="AX47" s="2084"/>
      <c r="AY47" s="2084"/>
      <c r="AZ47" s="2084"/>
      <c r="BA47" s="2084"/>
      <c r="BB47" s="2085"/>
      <c r="BC47" s="1273" t="s">
        <v>405</v>
      </c>
      <c r="BE47" s="496"/>
      <c r="BF47" s="496" t="str">
        <f>IF(T47="","",T47)</f>
        <v>Территория действия тарифа</v>
      </c>
      <c r="BG47" s="496"/>
      <c r="BH47" s="496"/>
    </row>
    <row customHeight="1" ht="42">
      <c r="A48" s="1380" t="s">
        <v>251</v>
      </c>
      <c r="B48" s="1380" t="s">
        <v>252</v>
      </c>
      <c r="C48" s="1380" t="s">
        <v>253</v>
      </c>
      <c r="D48" s="1380"/>
      <c r="E48" s="2090"/>
      <c r="F48" s="2090"/>
      <c r="G48" s="2089">
        <v>1</v>
      </c>
      <c r="H48" s="1380"/>
      <c r="I48" s="1380"/>
      <c r="J48" s="1380"/>
      <c r="K48" s="1380"/>
      <c r="L48" s="1381"/>
      <c r="M48" s="1382"/>
      <c r="N48" s="1382"/>
      <c r="O48" s="1382"/>
      <c r="P48" s="1429"/>
      <c r="Q48" s="1428"/>
      <c r="R48" s="341"/>
      <c r="S48" s="1474" t="str">
        <f>INDEX(PT_DIFFERENTIATION_NUM_CS,MATCH(C48,PT_DIFFERENTIATION_CS_ID,0))</f>
        <v>..</v>
      </c>
      <c r="T48" s="291" t="s">
        <v>488</v>
      </c>
      <c r="U48" s="280"/>
      <c r="V48" s="2084"/>
      <c r="W48" s="2084"/>
      <c r="X48" s="2084"/>
      <c r="Y48" s="2084"/>
      <c r="Z48" s="2084"/>
      <c r="AA48" s="2084"/>
      <c r="AB48" s="2084"/>
      <c r="AC48" s="2085"/>
      <c r="AD48" s="2083" t="str">
        <f>INDEX(PT_DIFFERENTIATION_CS,MATCH(C48,PT_DIFFERENTIATION_CS_ID,0))</f>
        <v/>
      </c>
      <c r="AE48" s="2084"/>
      <c r="AF48" s="2084"/>
      <c r="AG48" s="2084"/>
      <c r="AH48" s="2084"/>
      <c r="AI48" s="2084"/>
      <c r="AJ48" s="2084"/>
      <c r="AK48" s="2084"/>
      <c r="AL48" s="2084"/>
      <c r="AM48" s="2084"/>
      <c r="AN48" s="2084"/>
      <c r="AO48" s="2084"/>
      <c r="AP48" s="2084"/>
      <c r="AQ48" s="2084"/>
      <c r="AR48" s="2084"/>
      <c r="AS48" s="2084"/>
      <c r="AT48" s="2084"/>
      <c r="AU48" s="2084"/>
      <c r="AV48" s="2084"/>
      <c r="AW48" s="2084"/>
      <c r="AX48" s="2084"/>
      <c r="AY48" s="2084"/>
      <c r="AZ48" s="2084"/>
      <c r="BA48" s="2084"/>
      <c r="BB48" s="2085"/>
      <c r="BC48" s="1273" t="s">
        <v>489</v>
      </c>
      <c r="BE48" s="496"/>
      <c r="BF48" s="496" t="str">
        <f>IF(T48="","",T48)</f>
        <v>Наименование централизованной системы холодного водоснабжения</v>
      </c>
      <c r="BG48" s="496"/>
      <c r="BH48" s="496"/>
    </row>
    <row s="1667" customFormat="1" customHeight="1" ht="0">
      <c r="A49" s="1360" t="s">
        <v>251</v>
      </c>
      <c r="B49" s="1360" t="s">
        <v>252</v>
      </c>
      <c r="C49" s="1360" t="s">
        <v>253</v>
      </c>
      <c r="D49" s="1360" t="s">
        <v>520</v>
      </c>
      <c r="E49" s="2090"/>
      <c r="F49" s="2090"/>
      <c r="G49" s="2090"/>
      <c r="H49" s="2089">
        <v>1</v>
      </c>
      <c r="I49" s="1360"/>
      <c r="J49" s="1360"/>
      <c r="K49" s="1360"/>
      <c r="L49" s="1363"/>
      <c r="M49" s="1332"/>
      <c r="N49" s="1332"/>
      <c r="O49" s="1332"/>
      <c r="P49" s="1514"/>
      <c r="Q49" s="1515"/>
      <c r="R49" s="345"/>
      <c r="S49" s="1037"/>
      <c r="T49" s="1516"/>
      <c r="U49" s="1401"/>
      <c r="V49" s="2130"/>
      <c r="W49" s="2130"/>
      <c r="X49" s="2130"/>
      <c r="Y49" s="2130"/>
      <c r="Z49" s="2130"/>
      <c r="AA49" s="2130"/>
      <c r="AB49" s="2130"/>
      <c r="AC49" s="2131"/>
      <c r="AD49" s="2129"/>
      <c r="AE49" s="2130"/>
      <c r="AF49" s="2130"/>
      <c r="AG49" s="2130"/>
      <c r="AH49" s="2130"/>
      <c r="AI49" s="2130"/>
      <c r="AJ49" s="2130"/>
      <c r="AK49" s="2130"/>
      <c r="AL49" s="2130"/>
      <c r="AM49" s="2130"/>
      <c r="AN49" s="2130"/>
      <c r="AO49" s="2130"/>
      <c r="AP49" s="2130"/>
      <c r="AQ49" s="2130"/>
      <c r="AR49" s="2130"/>
      <c r="AS49" s="2130"/>
      <c r="AT49" s="2130"/>
      <c r="AU49" s="2130"/>
      <c r="AV49" s="2130"/>
      <c r="AW49" s="2130"/>
      <c r="AX49" s="2130"/>
      <c r="AY49" s="2130"/>
      <c r="AZ49" s="2130"/>
      <c r="BA49" s="2130"/>
      <c r="BB49" s="2131"/>
      <c r="BC49" s="1402" t="s">
        <v>409</v>
      </c>
      <c r="BE49" s="496"/>
      <c r="BF49" s="496" t="str">
        <f>IF(T49="","",T49)</f>
        <v/>
      </c>
      <c r="BG49" s="496"/>
      <c r="BH49" s="496"/>
    </row>
    <row s="1667" customFormat="1" customHeight="1" ht="0">
      <c r="A50" s="1360" t="s">
        <v>251</v>
      </c>
      <c r="B50" s="1360" t="s">
        <v>252</v>
      </c>
      <c r="C50" s="1360" t="s">
        <v>253</v>
      </c>
      <c r="D50" s="1360" t="s">
        <v>520</v>
      </c>
      <c r="E50" s="2090"/>
      <c r="F50" s="2090"/>
      <c r="G50" s="2090"/>
      <c r="H50" s="2090"/>
      <c r="I50" s="2091" t="str">
        <f>S49&amp;".1"</f>
        <v>.1</v>
      </c>
      <c r="J50" s="1360"/>
      <c r="K50" s="1360"/>
      <c r="L50" s="1363" t="s">
        <v>410</v>
      </c>
      <c r="M50" s="506"/>
      <c r="N50" s="506"/>
      <c r="O50" s="506"/>
      <c r="P50" s="2093">
        <v>1</v>
      </c>
      <c r="Q50" s="1479"/>
      <c r="R50" s="344"/>
      <c r="S50" s="1037"/>
      <c r="T50" s="1400"/>
      <c r="U50" s="1401"/>
      <c r="V50" s="2130"/>
      <c r="W50" s="2130"/>
      <c r="X50" s="2130"/>
      <c r="Y50" s="2130"/>
      <c r="Z50" s="2130"/>
      <c r="AA50" s="2130"/>
      <c r="AB50" s="2130"/>
      <c r="AC50" s="2131"/>
      <c r="AD50" s="2129"/>
      <c r="AE50" s="2130"/>
      <c r="AF50" s="2130"/>
      <c r="AG50" s="2130"/>
      <c r="AH50" s="2130"/>
      <c r="AI50" s="2130"/>
      <c r="AJ50" s="2130"/>
      <c r="AK50" s="2130"/>
      <c r="AL50" s="2130"/>
      <c r="AM50" s="2130"/>
      <c r="AN50" s="2130"/>
      <c r="AO50" s="2130"/>
      <c r="AP50" s="2130"/>
      <c r="AQ50" s="2130"/>
      <c r="AR50" s="2130"/>
      <c r="AS50" s="2130"/>
      <c r="AT50" s="2130"/>
      <c r="AU50" s="2130"/>
      <c r="AV50" s="2130"/>
      <c r="AW50" s="2130"/>
      <c r="AX50" s="2130"/>
      <c r="AY50" s="2130"/>
      <c r="AZ50" s="2130"/>
      <c r="BA50" s="2130"/>
      <c r="BB50" s="2131"/>
      <c r="BC50" s="1402"/>
      <c r="BE50" s="496"/>
      <c r="BF50" s="496" t="str">
        <f>IF(T50="","",T50)</f>
        <v/>
      </c>
      <c r="BG50" s="496"/>
      <c r="BH50" s="496"/>
    </row>
    <row s="1667" customFormat="1" customHeight="1" ht="0">
      <c r="A51" s="1360" t="s">
        <v>251</v>
      </c>
      <c r="B51" s="1360" t="s">
        <v>252</v>
      </c>
      <c r="C51" s="1360" t="s">
        <v>253</v>
      </c>
      <c r="D51" s="1360" t="s">
        <v>520</v>
      </c>
      <c r="E51" s="2090"/>
      <c r="F51" s="2090"/>
      <c r="G51" s="2090"/>
      <c r="H51" s="2090"/>
      <c r="I51" s="2092"/>
      <c r="J51" s="2091" t="str">
        <f>S49&amp;".1"</f>
        <v>.1</v>
      </c>
      <c r="K51" s="1360"/>
      <c r="L51" s="1363"/>
      <c r="M51" s="506"/>
      <c r="N51" s="506"/>
      <c r="O51" s="506"/>
      <c r="P51" s="2093"/>
      <c r="Q51" s="2093">
        <v>1</v>
      </c>
      <c r="R51" s="345"/>
      <c r="S51" s="1037"/>
      <c r="T51" s="1416"/>
      <c r="U51" s="1401"/>
      <c r="V51" s="2130"/>
      <c r="W51" s="2130"/>
      <c r="X51" s="2130"/>
      <c r="Y51" s="2130"/>
      <c r="Z51" s="2130"/>
      <c r="AA51" s="2130"/>
      <c r="AB51" s="2130"/>
      <c r="AC51" s="2131"/>
      <c r="AD51" s="2129"/>
      <c r="AE51" s="2130"/>
      <c r="AF51" s="2130"/>
      <c r="AG51" s="2130"/>
      <c r="AH51" s="2130"/>
      <c r="AI51" s="2130"/>
      <c r="AJ51" s="2130"/>
      <c r="AK51" s="2130"/>
      <c r="AL51" s="2130"/>
      <c r="AM51" s="2130"/>
      <c r="AN51" s="2191"/>
      <c r="AO51" s="2191"/>
      <c r="AP51" s="2130"/>
      <c r="AQ51" s="2130"/>
      <c r="AR51" s="2130"/>
      <c r="AS51" s="2130"/>
      <c r="AT51" s="2130"/>
      <c r="AU51" s="2130"/>
      <c r="AV51" s="2130"/>
      <c r="AW51" s="2130"/>
      <c r="AX51" s="2130"/>
      <c r="AY51" s="2130"/>
      <c r="AZ51" s="2130"/>
      <c r="BA51" s="2130"/>
      <c r="BB51" s="2131"/>
      <c r="BC51" s="1402"/>
      <c r="BE51" s="496"/>
      <c r="BF51" s="496" t="str">
        <f>IF(T51="","",T51)</f>
        <v/>
      </c>
      <c r="BG51" s="496"/>
      <c r="BH51" s="496"/>
    </row>
    <row customHeight="1" ht="11.25">
      <c r="A52" s="1380" t="s">
        <v>251</v>
      </c>
      <c r="B52" s="1380" t="s">
        <v>252</v>
      </c>
      <c r="C52" s="1380" t="s">
        <v>253</v>
      </c>
      <c r="D52" s="1380" t="s">
        <v>520</v>
      </c>
      <c r="E52" s="2090"/>
      <c r="F52" s="2090"/>
      <c r="G52" s="2090"/>
      <c r="H52" s="2090"/>
      <c r="I52" s="2092"/>
      <c r="J52" s="2092"/>
      <c r="K52" s="2091" t="str">
        <f>S48&amp;".1"</f>
        <v>...1</v>
      </c>
      <c r="L52" s="1381"/>
      <c r="P52" s="2093"/>
      <c r="Q52" s="2093"/>
      <c r="R52" s="345">
        <v>1</v>
      </c>
      <c r="S52" s="2166" t="str">
        <f>$K52</f>
        <v>...1</v>
      </c>
      <c r="T52" s="2185"/>
      <c r="U52" s="280"/>
      <c r="V52" s="746"/>
      <c r="W52" s="1272"/>
      <c r="X52" s="746"/>
      <c r="Y52" s="1272"/>
      <c r="Z52" s="1758"/>
      <c r="AA52" s="1476" t="s">
        <v>66</v>
      </c>
      <c r="AB52" s="1758"/>
      <c r="AC52" s="1476" t="s">
        <v>66</v>
      </c>
      <c r="AD52" s="2026" t="s">
        <v>66</v>
      </c>
      <c r="AE52" s="2162"/>
      <c r="AF52" s="2039">
        <v>1</v>
      </c>
      <c r="AG52" s="2184"/>
      <c r="AH52" s="1963" t="s">
        <v>66</v>
      </c>
      <c r="AI52" s="2162"/>
      <c r="AJ52" s="2039">
        <v>1</v>
      </c>
      <c r="AK52" s="2183" t="s">
        <v>24</v>
      </c>
      <c r="AL52" s="1963" t="s">
        <v>66</v>
      </c>
      <c r="AM52" s="2011"/>
      <c r="AN52" s="2039">
        <v>1</v>
      </c>
      <c r="AO52" s="2188"/>
      <c r="AP52" s="2189" t="s">
        <v>66</v>
      </c>
      <c r="AQ52" s="293"/>
      <c r="AR52" s="1480">
        <v>1</v>
      </c>
      <c r="AS52" s="1483" t="s">
        <v>24</v>
      </c>
      <c r="AT52" s="746"/>
      <c r="AU52" s="1272"/>
      <c r="AV52" s="746"/>
      <c r="AW52" s="1272"/>
      <c r="AX52" s="1758"/>
      <c r="AY52" s="1476" t="s">
        <v>66</v>
      </c>
      <c r="AZ52" s="1758"/>
      <c r="BA52" s="1476" t="s">
        <v>66</v>
      </c>
      <c r="BB52" s="1365"/>
      <c r="BC52" s="2119" t="s">
        <v>506</v>
      </c>
      <c r="BE52" s="496"/>
      <c r="BF52" s="496" t="str">
        <f>IF(T52="","",T52)</f>
        <v/>
      </c>
      <c r="BG52" s="496"/>
      <c r="BH52" s="496"/>
    </row>
    <row customHeight="1" ht="11.25">
      <c r="A53" s="1380"/>
      <c r="B53" s="1380"/>
      <c r="C53" s="1380"/>
      <c r="D53" s="1380"/>
      <c r="E53" s="2090"/>
      <c r="F53" s="2090"/>
      <c r="G53" s="2090"/>
      <c r="H53" s="2090"/>
      <c r="I53" s="2092"/>
      <c r="J53" s="2092"/>
      <c r="K53" s="2091"/>
      <c r="L53" s="1381"/>
      <c r="P53" s="2093"/>
      <c r="Q53" s="2093"/>
      <c r="R53" s="345"/>
      <c r="S53" s="2167"/>
      <c r="T53" s="2186"/>
      <c r="U53" s="280"/>
      <c r="V53" s="1410"/>
      <c r="W53" s="1513"/>
      <c r="X53" s="1410"/>
      <c r="Y53" s="1513"/>
      <c r="Z53" s="1410"/>
      <c r="AA53" s="1410"/>
      <c r="AB53" s="1410"/>
      <c r="AC53" s="1410"/>
      <c r="AD53" s="2027"/>
      <c r="AE53" s="2162"/>
      <c r="AF53" s="2039"/>
      <c r="AG53" s="2184"/>
      <c r="AH53" s="1963"/>
      <c r="AI53" s="2162"/>
      <c r="AJ53" s="2039"/>
      <c r="AK53" s="2183"/>
      <c r="AL53" s="1963"/>
      <c r="AM53" s="2019"/>
      <c r="AN53" s="2039"/>
      <c r="AO53" s="2188"/>
      <c r="AP53" s="2190"/>
      <c r="AQ53" s="300"/>
      <c r="AR53" s="413"/>
      <c r="AS53" s="413" t="s">
        <v>507</v>
      </c>
      <c r="AT53" s="1410"/>
      <c r="AU53" s="1513"/>
      <c r="AV53" s="1410"/>
      <c r="AW53" s="1513"/>
      <c r="AX53" s="1410"/>
      <c r="AY53" s="1410"/>
      <c r="AZ53" s="1410"/>
      <c r="BA53" s="1410"/>
      <c r="BB53" s="1414"/>
      <c r="BC53" s="2120"/>
      <c r="BE53" s="496"/>
      <c r="BF53" s="496"/>
      <c r="BG53" s="496"/>
      <c r="BH53" s="496"/>
    </row>
    <row customHeight="1" ht="11.25">
      <c r="A54" s="1380" t="s">
        <v>251</v>
      </c>
      <c r="B54" s="1380"/>
      <c r="C54" s="1380"/>
      <c r="D54" s="1380"/>
      <c r="E54" s="2090"/>
      <c r="F54" s="2090"/>
      <c r="G54" s="2090"/>
      <c r="H54" s="2090"/>
      <c r="I54" s="2092"/>
      <c r="J54" s="2092"/>
      <c r="K54" s="2091"/>
      <c r="L54" s="1381"/>
      <c r="P54" s="2093"/>
      <c r="Q54" s="2093"/>
      <c r="R54" s="345"/>
      <c r="S54" s="2167"/>
      <c r="T54" s="2186"/>
      <c r="U54" s="280"/>
      <c r="V54" s="1410"/>
      <c r="W54" s="1513"/>
      <c r="X54" s="1410"/>
      <c r="Y54" s="1513"/>
      <c r="Z54" s="1410"/>
      <c r="AA54" s="1410"/>
      <c r="AB54" s="1410"/>
      <c r="AC54" s="1410"/>
      <c r="AD54" s="2027"/>
      <c r="AE54" s="2162"/>
      <c r="AF54" s="2039"/>
      <c r="AG54" s="2184"/>
      <c r="AH54" s="1963"/>
      <c r="AI54" s="2162"/>
      <c r="AJ54" s="2039"/>
      <c r="AK54" s="2183"/>
      <c r="AL54" s="1963"/>
      <c r="AM54" s="300"/>
      <c r="AN54" s="1517"/>
      <c r="AO54" s="1517" t="s">
        <v>508</v>
      </c>
      <c r="AP54" s="413"/>
      <c r="AQ54" s="413"/>
      <c r="AR54" s="413"/>
      <c r="AS54" s="1410"/>
      <c r="AT54" s="1410"/>
      <c r="AU54" s="1513"/>
      <c r="AV54" s="1410"/>
      <c r="AW54" s="1513"/>
      <c r="AX54" s="1410"/>
      <c r="AY54" s="1410"/>
      <c r="AZ54" s="1410"/>
      <c r="BA54" s="1410"/>
      <c r="BB54" s="1414"/>
      <c r="BC54" s="2120"/>
      <c r="BE54" s="496"/>
      <c r="BF54" s="496"/>
      <c r="BG54" s="496"/>
      <c r="BH54" s="496"/>
    </row>
    <row customHeight="1" ht="11.25">
      <c r="A55" s="1380" t="s">
        <v>251</v>
      </c>
      <c r="B55" s="1380"/>
      <c r="C55" s="1380"/>
      <c r="D55" s="1380"/>
      <c r="E55" s="2090"/>
      <c r="F55" s="2090"/>
      <c r="G55" s="2090"/>
      <c r="H55" s="2090"/>
      <c r="I55" s="2092"/>
      <c r="J55" s="2092"/>
      <c r="K55" s="2091"/>
      <c r="L55" s="1381"/>
      <c r="P55" s="2093"/>
      <c r="Q55" s="2093"/>
      <c r="R55" s="345"/>
      <c r="S55" s="2167"/>
      <c r="T55" s="2186"/>
      <c r="U55" s="280"/>
      <c r="V55" s="1410"/>
      <c r="W55" s="1513"/>
      <c r="X55" s="1410"/>
      <c r="Y55" s="1513"/>
      <c r="Z55" s="1410"/>
      <c r="AA55" s="1410"/>
      <c r="AB55" s="1410"/>
      <c r="AC55" s="1410"/>
      <c r="AD55" s="2027"/>
      <c r="AE55" s="2162"/>
      <c r="AF55" s="2039"/>
      <c r="AG55" s="2184"/>
      <c r="AH55" s="1963"/>
      <c r="AI55" s="274"/>
      <c r="AJ55" s="412"/>
      <c r="AK55" s="295" t="s">
        <v>509</v>
      </c>
      <c r="AL55" s="1410"/>
      <c r="AM55" s="1410"/>
      <c r="AN55" s="1410"/>
      <c r="AO55" s="1410"/>
      <c r="AP55" s="1410"/>
      <c r="AQ55" s="1410"/>
      <c r="AR55" s="1410"/>
      <c r="AS55" s="1410"/>
      <c r="AT55" s="1410"/>
      <c r="AU55" s="1513"/>
      <c r="AV55" s="1410"/>
      <c r="AW55" s="1513"/>
      <c r="AX55" s="1410"/>
      <c r="AY55" s="1410"/>
      <c r="AZ55" s="1410"/>
      <c r="BA55" s="1410"/>
      <c r="BB55" s="1414"/>
      <c r="BC55" s="2120"/>
      <c r="BE55" s="496"/>
      <c r="BF55" s="496"/>
      <c r="BG55" s="496"/>
      <c r="BH55" s="496"/>
    </row>
    <row customHeight="1" ht="11.25">
      <c r="A56" s="1380" t="s">
        <v>251</v>
      </c>
      <c r="B56" s="1380" t="s">
        <v>252</v>
      </c>
      <c r="C56" s="1380" t="s">
        <v>253</v>
      </c>
      <c r="D56" s="1380" t="s">
        <v>520</v>
      </c>
      <c r="E56" s="2090"/>
      <c r="F56" s="2090"/>
      <c r="G56" s="2090"/>
      <c r="H56" s="2090"/>
      <c r="I56" s="2092"/>
      <c r="J56" s="2092"/>
      <c r="K56" s="2091"/>
      <c r="L56" s="1381"/>
      <c r="P56" s="2093"/>
      <c r="Q56" s="2093"/>
      <c r="R56" s="345"/>
      <c r="S56" s="2168"/>
      <c r="T56" s="2187"/>
      <c r="U56" s="280"/>
      <c r="V56" s="1410"/>
      <c r="W56" s="1411" t="str">
        <f>Z52&amp;"-"&amp;AB52</f>
        <v>-</v>
      </c>
      <c r="X56" s="1410"/>
      <c r="Y56" s="1411" t="str">
        <f>AB52&amp;"-"&amp;AD52</f>
        <v>-да</v>
      </c>
      <c r="Z56" s="1410"/>
      <c r="AA56" s="1410"/>
      <c r="AB56" s="1410"/>
      <c r="AC56" s="1410"/>
      <c r="AD56" s="1968"/>
      <c r="AE56" s="294"/>
      <c r="AF56" s="296"/>
      <c r="AG56" s="413" t="s">
        <v>510</v>
      </c>
      <c r="AH56" s="1410"/>
      <c r="AI56" s="1410"/>
      <c r="AJ56" s="1410"/>
      <c r="AK56" s="1410"/>
      <c r="AL56" s="1410"/>
      <c r="AM56" s="1410"/>
      <c r="AN56" s="1410"/>
      <c r="AO56" s="1410"/>
      <c r="AP56" s="1410"/>
      <c r="AQ56" s="1410"/>
      <c r="AR56" s="1410"/>
      <c r="AS56" s="1410"/>
      <c r="AT56" s="1410"/>
      <c r="AU56" s="1411" t="str">
        <f>AX52&amp;"-"&amp;AZ52</f>
        <v>-</v>
      </c>
      <c r="AV56" s="1410"/>
      <c r="AW56" s="1411" t="str">
        <f>AZ52&amp;"-"&amp;BB52</f>
        <v>-</v>
      </c>
      <c r="AX56" s="1410"/>
      <c r="AY56" s="1410"/>
      <c r="AZ56" s="1410"/>
      <c r="BA56" s="1410"/>
      <c r="BB56" s="1413" t="str">
        <f>BE52&amp;"-"&amp;BG52</f>
        <v>-</v>
      </c>
      <c r="BC56" s="2120"/>
      <c r="BE56" s="496"/>
      <c r="BF56" s="496" t="str">
        <f>IF(T56="","",T56)</f>
        <v/>
      </c>
      <c r="BG56" s="496"/>
      <c r="BH56" s="496"/>
    </row>
    <row customHeight="1" ht="11.25">
      <c r="A57" s="1380" t="s">
        <v>251</v>
      </c>
      <c r="B57" s="1380" t="s">
        <v>252</v>
      </c>
      <c r="C57" s="1380" t="s">
        <v>253</v>
      </c>
      <c r="D57" s="1380" t="s">
        <v>520</v>
      </c>
      <c r="E57" s="2090"/>
      <c r="F57" s="2090"/>
      <c r="G57" s="2090"/>
      <c r="H57" s="2090"/>
      <c r="I57" s="2092"/>
      <c r="J57" s="2091"/>
      <c r="K57" s="1380"/>
      <c r="L57" s="1381"/>
      <c r="P57" s="2093"/>
      <c r="Q57" s="2093"/>
      <c r="R57" s="344"/>
      <c r="S57" s="1295"/>
      <c r="T57" s="268" t="s">
        <v>474</v>
      </c>
      <c r="U57" s="359"/>
      <c r="V57" s="359"/>
      <c r="W57" s="359"/>
      <c r="X57" s="359"/>
      <c r="Y57" s="359"/>
      <c r="Z57" s="359"/>
      <c r="AA57" s="359"/>
      <c r="AB57" s="359"/>
      <c r="AC57" s="311"/>
      <c r="AD57" s="1522"/>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1"/>
      <c r="BE57" s="496"/>
      <c r="BF57" s="496" t="str">
        <f>IF(T57="","",T57)</f>
        <v>Добавить строку</v>
      </c>
      <c r="BG57" s="496"/>
      <c r="BH57" s="496"/>
    </row>
    <row s="1667" customFormat="1" customHeight="1" ht="0">
      <c r="A58" s="1360" t="s">
        <v>251</v>
      </c>
      <c r="B58" s="1360" t="s">
        <v>252</v>
      </c>
      <c r="C58" s="1360" t="s">
        <v>253</v>
      </c>
      <c r="D58" s="1360" t="s">
        <v>520</v>
      </c>
      <c r="E58" s="2090"/>
      <c r="F58" s="2090"/>
      <c r="G58" s="2090"/>
      <c r="H58" s="2090"/>
      <c r="I58" s="2091"/>
      <c r="J58" s="1360"/>
      <c r="K58" s="1360"/>
      <c r="L58" s="1363"/>
      <c r="M58" s="506"/>
      <c r="N58" s="506"/>
      <c r="O58" s="506"/>
      <c r="P58" s="2093"/>
      <c r="Q58" s="1479"/>
      <c r="R58" s="344"/>
      <c r="S58" s="1403"/>
      <c r="T58" s="1404"/>
      <c r="U58" s="1405"/>
      <c r="V58" s="1405"/>
      <c r="W58" s="1405"/>
      <c r="X58" s="1405"/>
      <c r="Y58" s="1405"/>
      <c r="Z58" s="1405"/>
      <c r="AA58" s="1405"/>
      <c r="AB58" s="1405"/>
      <c r="AC58" s="1405"/>
      <c r="AD58" s="1405"/>
      <c r="AE58" s="1405"/>
      <c r="AF58" s="1405"/>
      <c r="AG58" s="1405"/>
      <c r="AH58" s="1405"/>
      <c r="AI58" s="1405"/>
      <c r="AJ58" s="1405"/>
      <c r="AK58" s="1405"/>
      <c r="AL58" s="1405"/>
      <c r="AM58" s="1405"/>
      <c r="AN58" s="1405"/>
      <c r="AO58" s="1405"/>
      <c r="AP58" s="1405"/>
      <c r="AQ58" s="1405"/>
      <c r="AR58" s="1405"/>
      <c r="AS58" s="1405"/>
      <c r="AT58" s="1405"/>
      <c r="AU58" s="1405"/>
      <c r="AV58" s="1405"/>
      <c r="AW58" s="1405"/>
      <c r="AX58" s="1405"/>
      <c r="AY58" s="1405"/>
      <c r="AZ58" s="1405"/>
      <c r="BA58" s="1405"/>
      <c r="BB58" s="1405"/>
      <c r="BC58" s="1406"/>
      <c r="BE58" s="496"/>
      <c r="BF58" s="496" t="str">
        <f>IF(T58="","",T58)</f>
        <v/>
      </c>
      <c r="BG58" s="496"/>
      <c r="BH58" s="496"/>
    </row>
    <row s="1667" customFormat="1" customHeight="1" ht="0">
      <c r="A59" s="1360" t="s">
        <v>251</v>
      </c>
      <c r="B59" s="1360" t="s">
        <v>252</v>
      </c>
      <c r="C59" s="1360" t="s">
        <v>253</v>
      </c>
      <c r="D59" s="1360" t="s">
        <v>520</v>
      </c>
      <c r="E59" s="2090"/>
      <c r="F59" s="2090"/>
      <c r="G59" s="2090"/>
      <c r="H59" s="2089"/>
      <c r="I59" s="1360"/>
      <c r="J59" s="1360"/>
      <c r="K59" s="1360"/>
      <c r="L59" s="1363"/>
      <c r="M59" s="1332"/>
      <c r="N59" s="1332"/>
      <c r="O59" s="514"/>
      <c r="P59" s="376"/>
      <c r="Q59" s="1361"/>
      <c r="R59" s="1418"/>
      <c r="S59" s="1403"/>
      <c r="T59" s="1404"/>
      <c r="U59" s="1405"/>
      <c r="V59" s="1405"/>
      <c r="W59" s="1405"/>
      <c r="X59" s="1405"/>
      <c r="Y59" s="1405"/>
      <c r="Z59" s="1405"/>
      <c r="AA59" s="1405"/>
      <c r="AB59" s="1405"/>
      <c r="AC59" s="1405"/>
      <c r="AD59" s="1405"/>
      <c r="AE59" s="1405"/>
      <c r="AF59" s="1405"/>
      <c r="AG59" s="1405"/>
      <c r="AH59" s="1405"/>
      <c r="AI59" s="1405"/>
      <c r="AJ59" s="1405"/>
      <c r="AK59" s="1405"/>
      <c r="AL59" s="1405"/>
      <c r="AM59" s="1405"/>
      <c r="AN59" s="1405"/>
      <c r="AO59" s="1405"/>
      <c r="AP59" s="1405"/>
      <c r="AQ59" s="1405"/>
      <c r="AR59" s="1405"/>
      <c r="AS59" s="1405"/>
      <c r="AT59" s="1405"/>
      <c r="AU59" s="1405"/>
      <c r="AV59" s="1405"/>
      <c r="AW59" s="1405"/>
      <c r="AX59" s="1405"/>
      <c r="AY59" s="1405"/>
      <c r="AZ59" s="1405"/>
      <c r="BA59" s="1405"/>
      <c r="BB59" s="1405"/>
      <c r="BC59" s="1406"/>
      <c r="BE59" s="496"/>
      <c r="BF59" s="496" t="str">
        <f>IF(T59="","",T59)</f>
        <v/>
      </c>
      <c r="BG59" s="496"/>
      <c r="BH59" s="496"/>
    </row>
    <row s="1667" customFormat="1" customHeight="1" ht="0">
      <c r="A60" s="1360" t="s">
        <v>251</v>
      </c>
      <c r="B60" s="1360" t="s">
        <v>252</v>
      </c>
      <c r="C60" s="1360" t="s">
        <v>253</v>
      </c>
      <c r="D60" s="1331"/>
      <c r="E60" s="2090"/>
      <c r="F60" s="2090"/>
      <c r="G60" s="2089"/>
      <c r="H60" s="1331"/>
      <c r="I60" s="1331"/>
      <c r="J60" s="1331"/>
      <c r="K60" s="1331"/>
      <c r="L60" s="1481"/>
      <c r="M60" s="1332"/>
      <c r="N60" s="1332"/>
      <c r="P60" s="1333"/>
      <c r="Q60" s="1334"/>
      <c r="R60" s="1333"/>
      <c r="S60" s="1339"/>
      <c r="T60" s="1342"/>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V60" s="1341"/>
      <c r="AW60" s="1341"/>
      <c r="AX60" s="1341"/>
      <c r="AY60" s="1341"/>
      <c r="AZ60" s="1341"/>
      <c r="BA60" s="1341"/>
      <c r="BB60" s="1341"/>
      <c r="BC60" s="1341"/>
      <c r="BE60" s="783"/>
      <c r="BF60" s="783" t="str">
        <f>IF(T60="","",T60)</f>
        <v/>
      </c>
      <c r="BG60" s="783"/>
      <c r="BH60" s="783"/>
    </row>
    <row s="1667" customFormat="1" customHeight="1" ht="0">
      <c r="A61" s="1360" t="s">
        <v>251</v>
      </c>
      <c r="B61" s="1360" t="s">
        <v>252</v>
      </c>
      <c r="C61" s="1331"/>
      <c r="D61" s="1331"/>
      <c r="E61" s="2090"/>
      <c r="F61" s="2089"/>
      <c r="G61" s="1331"/>
      <c r="H61" s="1331"/>
      <c r="I61" s="1331"/>
      <c r="J61" s="1331"/>
      <c r="K61" s="1331"/>
      <c r="L61" s="1481"/>
      <c r="M61" s="1338"/>
      <c r="N61" s="1338"/>
      <c r="P61" s="1333"/>
      <c r="Q61" s="1334"/>
      <c r="R61" s="1333"/>
      <c r="S61" s="1339"/>
      <c r="T61" s="1342" t="s">
        <v>167</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V61" s="1341"/>
      <c r="AW61" s="1341"/>
      <c r="AX61" s="1341"/>
      <c r="AY61" s="1341"/>
      <c r="AZ61" s="1341"/>
      <c r="BA61" s="1341"/>
      <c r="BB61" s="1341"/>
      <c r="BC61" s="1341"/>
      <c r="BE61" s="783"/>
      <c r="BF61" s="783" t="str">
        <f>IF(T61="","",T61)</f>
        <v>Добавить централизованную систему для дифференциации</v>
      </c>
      <c r="BG61" s="783"/>
      <c r="BH61" s="783"/>
    </row>
    <row s="1667" customFormat="1" customHeight="1" ht="0">
      <c r="A62" s="1360" t="s">
        <v>251</v>
      </c>
      <c r="B62" s="1360"/>
      <c r="C62" s="1360"/>
      <c r="D62" s="1360"/>
      <c r="E62" s="2089"/>
      <c r="F62" s="1360"/>
      <c r="G62" s="1360"/>
      <c r="H62" s="1360"/>
      <c r="I62" s="1360"/>
      <c r="J62" s="1360"/>
      <c r="K62" s="1360"/>
      <c r="L62" s="1363"/>
      <c r="M62" s="1338"/>
      <c r="N62" s="1338"/>
      <c r="O62" s="514"/>
      <c r="P62" s="376"/>
      <c r="Q62" s="1361"/>
      <c r="R62" s="376"/>
      <c r="S62" s="1339"/>
      <c r="T62" s="1342" t="s">
        <v>168</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V62" s="1341"/>
      <c r="AW62" s="1341"/>
      <c r="AX62" s="1341"/>
      <c r="AY62" s="1341"/>
      <c r="AZ62" s="1341"/>
      <c r="BA62" s="1341"/>
      <c r="BB62" s="1341"/>
      <c r="BC62" s="1341"/>
      <c r="BE62" s="496"/>
      <c r="BF62" s="496" t="str">
        <f>IF(T62="","",T62)</f>
        <v>Добавить территорию для дифференциации</v>
      </c>
      <c r="BG62" s="496"/>
      <c r="BH62" s="496"/>
    </row>
    <row s="1667" customFormat="1" customHeight="1" ht="0">
      <c r="A63" s="1331"/>
      <c r="B63" s="1331"/>
      <c r="C63" s="1331"/>
      <c r="D63" s="1331"/>
      <c r="E63" s="1360"/>
      <c r="F63" s="1331"/>
      <c r="G63" s="1331"/>
      <c r="H63" s="1331"/>
      <c r="I63" s="1331"/>
      <c r="J63" s="1331"/>
      <c r="K63" s="1331"/>
      <c r="L63" s="1481"/>
      <c r="M63" s="1338"/>
      <c r="N63" s="1338"/>
      <c r="P63" s="1333"/>
      <c r="Q63" s="1334"/>
      <c r="R63" s="1333"/>
      <c r="S63" s="1339"/>
      <c r="T63" s="1342" t="s">
        <v>180</v>
      </c>
      <c r="U63" s="1341"/>
      <c r="V63" s="1341"/>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R63" s="1341"/>
      <c r="AS63" s="1341"/>
      <c r="AT63" s="1341"/>
      <c r="AU63" s="1341"/>
      <c r="AV63" s="1341"/>
      <c r="AW63" s="1341"/>
      <c r="AX63" s="1341"/>
      <c r="AY63" s="1341"/>
      <c r="AZ63" s="1341"/>
      <c r="BA63" s="1341"/>
      <c r="BB63" s="1341"/>
      <c r="BC63" s="1341"/>
      <c r="BE63" s="783"/>
      <c r="BF63" s="783" t="str">
        <f>IF(T63="","",T63)</f>
        <v>Добавить наименование тарифа</v>
      </c>
      <c r="BG63" s="783"/>
      <c r="BH63" s="783"/>
    </row>
    <row customHeight="1" ht="11.25">
      <c r="M64" s="1155"/>
      <c r="N64" s="1155"/>
      <c r="O64" s="533"/>
      <c r="P64" s="1155"/>
      <c r="Q64" s="1155"/>
      <c r="R64" s="1150"/>
      <c r="S64" s="1150"/>
      <c r="BD64" s="1150"/>
      <c r="BE64" s="1150"/>
      <c r="BF64" s="1150"/>
      <c r="BG64" s="1150"/>
      <c r="BH64" s="1150"/>
    </row>
    <row customHeight="1" ht="18.75">
      <c r="O65" s="533"/>
      <c r="S65" s="1260"/>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088"/>
      <c r="AU65" s="2088"/>
      <c r="AV65" s="2088"/>
      <c r="AW65" s="2088"/>
      <c r="AX65" s="2088"/>
      <c r="AY65" s="2088"/>
      <c r="AZ65" s="2088"/>
      <c r="BA65" s="2088"/>
      <c r="BB65" s="2088"/>
      <c r="BC65" s="2088"/>
    </row>
    <row customHeight="1" ht="14.25">
      <c r="O66" s="533"/>
      <c r="T66" s="1466"/>
      <c r="U66" s="1466"/>
      <c r="V66" s="1466"/>
      <c r="W66" s="1466"/>
      <c r="X66" s="1466"/>
      <c r="Y66" s="1466"/>
      <c r="Z66" s="1466"/>
      <c r="AA66" s="1466"/>
      <c r="AB66" s="1466"/>
      <c r="AC66" s="1466"/>
      <c r="AD66" s="1466"/>
      <c r="AE66" s="1466"/>
      <c r="AF66" s="1466"/>
      <c r="AG66" s="1466"/>
      <c r="AH66" s="1466"/>
      <c r="AI66" s="1466"/>
      <c r="AJ66" s="1466"/>
      <c r="AK66" s="1466"/>
      <c r="AL66" s="1466"/>
      <c r="AM66" s="1466"/>
      <c r="AN66" s="1466"/>
      <c r="AO66" s="1466"/>
      <c r="AP66" s="1466"/>
      <c r="AQ66" s="1466"/>
      <c r="AR66" s="1466"/>
      <c r="AS66" s="1466"/>
      <c r="AT66" s="1466"/>
      <c r="AU66" s="1466"/>
      <c r="AV66" s="1466"/>
      <c r="AW66" s="1466"/>
      <c r="AX66" s="1466"/>
      <c r="AY66" s="1466"/>
      <c r="AZ66" s="1466"/>
      <c r="BA66" s="1466"/>
      <c r="BB66" s="1466"/>
      <c r="BC66" s="1466"/>
    </row>
    <row customHeight="1" ht="18.75">
      <c r="O67" s="533"/>
      <c r="S67" s="1260"/>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088"/>
      <c r="AU67" s="2088"/>
      <c r="AV67" s="2088"/>
      <c r="AW67" s="2088"/>
      <c r="AX67" s="2088"/>
      <c r="AY67" s="2088"/>
      <c r="AZ67" s="2088"/>
      <c r="BA67" s="2088"/>
      <c r="BB67" s="2088"/>
      <c r="BC67" s="2088"/>
    </row>
    <row customHeight="1" ht="14.25">
      <c r="O68" s="53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89D372-C9AD-0E13-2B6E-31B25E7C9105}"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122</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404</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405</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521</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522</v>
      </c>
      <c r="AM4" s="496"/>
      <c r="AN4" s="496" t="str">
        <f>IF(T4="","",T4)</f>
        <v>Наименование централизованной системы водоотведения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490</v>
      </c>
      <c r="U5" s="280"/>
      <c r="V5" s="2176"/>
      <c r="W5" s="2177"/>
      <c r="X5" s="2177"/>
      <c r="Y5" s="2177"/>
      <c r="Z5" s="2177"/>
      <c r="AA5" s="2177"/>
      <c r="AB5" s="2178"/>
      <c r="AC5" s="2179"/>
      <c r="AD5" s="2180"/>
      <c r="AE5" s="2180"/>
      <c r="AF5" s="2180"/>
      <c r="AG5" s="2180"/>
      <c r="AH5" s="2180"/>
      <c r="AI5" s="2180"/>
      <c r="AJ5" s="2181"/>
      <c r="AK5" s="1273" t="s">
        <v>491</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413</v>
      </c>
      <c r="P6" s="2093"/>
      <c r="Q6" s="2093">
        <v>1</v>
      </c>
      <c r="R6" s="345"/>
      <c r="S6" s="1510">
        <f>$J6</f>
      </c>
      <c r="T6" s="267" t="s">
        <v>414</v>
      </c>
      <c r="U6" s="280"/>
      <c r="V6" s="2077"/>
      <c r="W6" s="2078"/>
      <c r="X6" s="2078"/>
      <c r="Y6" s="2078"/>
      <c r="Z6" s="2078"/>
      <c r="AA6" s="2078"/>
      <c r="AB6" s="2079"/>
      <c r="AC6" s="2077"/>
      <c r="AD6" s="2078"/>
      <c r="AE6" s="2078"/>
      <c r="AF6" s="2078"/>
      <c r="AG6" s="2078"/>
      <c r="AH6" s="2078"/>
      <c r="AI6" s="2078"/>
      <c r="AJ6" s="2079"/>
      <c r="AK6" s="1324" t="s">
        <v>492</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66</v>
      </c>
      <c r="AA7" s="2094"/>
      <c r="AB7" s="1963" t="s">
        <v>66</v>
      </c>
      <c r="AC7" s="746"/>
      <c r="AD7" s="746"/>
      <c r="AE7" s="1272"/>
      <c r="AF7" s="2094"/>
      <c r="AG7" s="1963" t="s">
        <v>66</v>
      </c>
      <c r="AH7" s="2096"/>
      <c r="AI7" s="1963" t="s">
        <v>66</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493</v>
      </c>
      <c r="U9" s="359"/>
      <c r="V9" s="359"/>
      <c r="W9" s="359"/>
      <c r="X9" s="359"/>
      <c r="Y9" s="359"/>
      <c r="Z9" s="359"/>
      <c r="AA9" s="359"/>
      <c r="AB9" s="359"/>
      <c r="AC9" s="359"/>
      <c r="AD9" s="359"/>
      <c r="AE9" s="359"/>
      <c r="AF9" s="359"/>
      <c r="AG9" s="359"/>
      <c r="AH9" s="359"/>
      <c r="AI9" s="359"/>
      <c r="AJ9" s="359"/>
      <c r="AK9" s="1273" t="s">
        <v>494</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419</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495</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167</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168</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66</v>
      </c>
      <c r="AH15" s="2087"/>
      <c r="AI15" s="2086" t="s">
        <v>66</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421</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422</v>
      </c>
      <c r="P20" s="1379"/>
      <c r="Q20" s="1459"/>
      <c r="R20" s="1459"/>
      <c r="S20" s="724"/>
      <c r="T20" s="1155" t="s">
        <v>423</v>
      </c>
      <c r="Z20" s="166" t="s">
        <v>424</v>
      </c>
      <c r="AB20" s="166" t="s">
        <v>425</v>
      </c>
      <c r="AC20" s="1155" t="s">
        <v>423</v>
      </c>
      <c r="AG20" s="166" t="s">
        <v>426</v>
      </c>
      <c r="AI20" s="166" t="s">
        <v>425</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ООО "ПРОМ ИМПУЛЬС"</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Комитет по тарифам Санкт-Петербурга</v>
      </c>
      <c r="W27" s="2082"/>
      <c r="X27" s="2082"/>
      <c r="Y27" s="2082"/>
      <c r="Z27" s="2082"/>
      <c r="AA27" s="2082"/>
      <c r="AB27" s="314"/>
      <c r="AC27" s="2082" t="str">
        <f>IF(TITLE_NAME_OR_PR_CHANGE="",IF(TITLE_NAME_OR_PR="","",TITLE_NAME_OR_PR),TITLE_NAME_OR_PR_CHANGE)</f>
        <v>Комитет по тарифам Санкт-Петербурга</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427</v>
      </c>
      <c r="T28" s="2080"/>
      <c r="U28" s="1389"/>
      <c r="V28" s="2081" t="str">
        <f>IF(TITLE_DATE_PR_CHANGE="",IF(TITLE_DATE_PR="","",TITLE_DATE_PR),TITLE_DATE_PR_CHANGE)</f>
        <v>45268.58207175926</v>
      </c>
      <c r="W28" s="2081"/>
      <c r="X28" s="2081"/>
      <c r="Y28" s="2081"/>
      <c r="Z28" s="2081"/>
      <c r="AA28" s="2081"/>
      <c r="AB28" s="314"/>
      <c r="AC28" s="2081" t="str">
        <f>IF(TITLE_DATE_PR_CHANGE="",IF(TITLE_DATE_PR="","",TITLE_DATE_PR),TITLE_DATE_PR_CHANGE)</f>
        <v>45268.58207175926</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428</v>
      </c>
      <c r="T29" s="2080"/>
      <c r="U29" s="1389"/>
      <c r="V29" s="2082" t="str">
        <f>IF(TITLE_NUMBER_PR_CHANGE="",IF(TITLE_NUMBER_PR="","",TITLE_NUMBER_PR),TITLE_NUMBER_PR_CHANGE)</f>
        <v>237-р</v>
      </c>
      <c r="W29" s="2082"/>
      <c r="X29" s="2082"/>
      <c r="Y29" s="2082"/>
      <c r="Z29" s="2082"/>
      <c r="AA29" s="2082"/>
      <c r="AB29" s="314"/>
      <c r="AC29" s="2082" t="str">
        <f>IF(TITLE_NUMBER_PR_CHANGE="",IF(TITLE_NUMBER_PR="","",TITLE_NUMBER_PR),TITLE_NUMBER_PR_CHANGE)</f>
        <v>237-р</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https://www.gov.spb.ru/gov/otrasl/energ_kom/inform_/standarty-raskrytiya-informacii-komitetom/teplo/</v>
      </c>
      <c r="W30" s="2082"/>
      <c r="X30" s="2082"/>
      <c r="Y30" s="2082"/>
      <c r="Z30" s="2082"/>
      <c r="AA30" s="2082"/>
      <c r="AB30" s="314"/>
      <c r="AC30" s="2082" t="str">
        <f>IF(TITLE_IST_PUB_CHANGE="",IF(TITLE_IST_PUB="","",TITLE_IST_PUB),TITLE_IST_PUB_CHANGE)</f>
        <v>https://www.gov.spb.ru/gov/otrasl/energ_kom/inform_/standarty-raskrytiya-informacii-komitetom/teplo/</v>
      </c>
      <c r="AD30" s="2082"/>
      <c r="AE30" s="2082"/>
      <c r="AF30" s="2082"/>
      <c r="AG30" s="2082"/>
      <c r="AH30" s="2082"/>
      <c r="AI30" s="314"/>
      <c r="AJ30" s="314"/>
      <c r="AK30" s="261"/>
      <c r="AL30" s="360"/>
      <c r="AM30" s="360"/>
      <c r="AN30" s="360"/>
      <c r="AO30" s="360"/>
      <c r="AP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hidden="1">
      <c r="A32" s="1385"/>
      <c r="B32" s="1385"/>
      <c r="C32" s="1385"/>
      <c r="D32" s="1385"/>
      <c r="E32" s="1385"/>
      <c r="F32" s="1385"/>
      <c r="G32" s="1385"/>
      <c r="H32" s="1385"/>
      <c r="I32" s="1385"/>
      <c r="J32" s="1385"/>
      <c r="K32" s="1385"/>
      <c r="L32" s="1386"/>
      <c r="M32" s="1385"/>
      <c r="N32" s="1385"/>
      <c r="O32" s="1385"/>
      <c r="S32" s="2080" t="s">
        <v>429</v>
      </c>
      <c r="T32" s="2080"/>
      <c r="U32" s="1389"/>
      <c r="V32" s="2081" t="str">
        <f>IF(TITLE_DATE_PR_CHANGE="",IF(TITLE_DATE_PR="","",TITLE_DATE_PR),TITLE_DATE_PR_CHANGE)</f>
        <v>45268.58207175926</v>
      </c>
      <c r="W32" s="2081"/>
      <c r="X32" s="2081"/>
      <c r="Y32" s="2081"/>
      <c r="Z32" s="2081"/>
      <c r="AA32" s="2081"/>
      <c r="AB32" s="314"/>
      <c r="AC32" s="2081" t="str">
        <f>IF(TITLE_DATE_PR_CHANGE="",IF(TITLE_DATE_PR="","",TITLE_DATE_PR),TITLE_DATE_PR_CHANGE)</f>
        <v>45268.58207175926</v>
      </c>
      <c r="AD32" s="2081"/>
      <c r="AE32" s="2081"/>
      <c r="AF32" s="2081"/>
      <c r="AG32" s="2081"/>
      <c r="AH32" s="2081"/>
      <c r="AI32" s="314"/>
      <c r="AJ32" s="314"/>
      <c r="AK32" s="261"/>
      <c r="AL32" s="360"/>
      <c r="AM32" s="360"/>
      <c r="AN32" s="360"/>
      <c r="AO32" s="360"/>
      <c r="AP32" s="360"/>
    </row>
    <row s="1877" customFormat="1" customHeight="1" ht="18.75" hidden="1">
      <c r="A33" s="1385"/>
      <c r="B33" s="1385"/>
      <c r="C33" s="1385"/>
      <c r="D33" s="1385"/>
      <c r="E33" s="1385"/>
      <c r="F33" s="1385"/>
      <c r="G33" s="1385"/>
      <c r="H33" s="1385"/>
      <c r="I33" s="1385"/>
      <c r="J33" s="1385"/>
      <c r="K33" s="1385"/>
      <c r="L33" s="1386"/>
      <c r="M33" s="1385"/>
      <c r="N33" s="1385"/>
      <c r="O33" s="1385"/>
      <c r="S33" s="2080" t="s">
        <v>430</v>
      </c>
      <c r="T33" s="2080"/>
      <c r="U33" s="1389"/>
      <c r="V33" s="2082" t="str">
        <f>IF(TITLE_NUMBER_PR_CHANGE="",IF(TITLE_NUMBER_PR="","",TITLE_NUMBER_PR),TITLE_NUMBER_PR_CHANGE)</f>
        <v>237-р</v>
      </c>
      <c r="W33" s="2082"/>
      <c r="X33" s="2082"/>
      <c r="Y33" s="2082"/>
      <c r="Z33" s="2082"/>
      <c r="AA33" s="2082"/>
      <c r="AB33" s="314"/>
      <c r="AC33" s="2082" t="str">
        <f>IF(TITLE_NUMBER_PR_CHANGE="",IF(TITLE_NUMBER_PR="","",TITLE_NUMBER_PR),TITLE_NUMBER_PR_CHANGE)</f>
        <v>237-р</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431</v>
      </c>
      <c r="AC34" s="314"/>
      <c r="AD34" s="314"/>
      <c r="AE34" s="314"/>
      <c r="AF34" s="314"/>
      <c r="AG34" s="314"/>
      <c r="AH34" s="314"/>
      <c r="AI34" s="259" t="s">
        <v>431</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305</v>
      </c>
      <c r="T36" s="1953"/>
      <c r="U36" s="1953"/>
      <c r="V36" s="1953"/>
      <c r="W36" s="1953"/>
      <c r="X36" s="1953"/>
      <c r="Y36" s="1953"/>
      <c r="Z36" s="1953"/>
      <c r="AA36" s="1953"/>
      <c r="AB36" s="1953"/>
      <c r="AC36" s="1953"/>
      <c r="AD36" s="1953"/>
      <c r="AE36" s="1953"/>
      <c r="AF36" s="1953"/>
      <c r="AG36" s="1953"/>
      <c r="AH36" s="1953"/>
      <c r="AI36" s="1953"/>
      <c r="AJ36" s="1953"/>
      <c r="AK36" s="1953" t="s">
        <v>306</v>
      </c>
    </row>
    <row customHeight="1" ht="14.25">
      <c r="Q37" s="368"/>
      <c r="R37" s="368"/>
      <c r="S37" s="2107" t="s">
        <v>87</v>
      </c>
      <c r="T37" s="2044" t="s">
        <v>432</v>
      </c>
      <c r="U37" s="281"/>
      <c r="V37" s="2108" t="s">
        <v>433</v>
      </c>
      <c r="W37" s="2109"/>
      <c r="X37" s="2109"/>
      <c r="Y37" s="2109"/>
      <c r="Z37" s="2109"/>
      <c r="AA37" s="2110"/>
      <c r="AB37" s="2111" t="s">
        <v>434</v>
      </c>
      <c r="AC37" s="2108" t="s">
        <v>433</v>
      </c>
      <c r="AD37" s="2109"/>
      <c r="AE37" s="2109"/>
      <c r="AF37" s="2109"/>
      <c r="AG37" s="2109"/>
      <c r="AH37" s="2110"/>
      <c r="AI37" s="2111" t="s">
        <v>435</v>
      </c>
      <c r="AJ37" s="2114" t="s">
        <v>436</v>
      </c>
      <c r="AK37" s="1953"/>
    </row>
    <row customHeight="1" ht="33.75">
      <c r="Q38" s="368"/>
      <c r="R38" s="368"/>
      <c r="S38" s="2107"/>
      <c r="T38" s="2044"/>
      <c r="U38" s="1026"/>
      <c r="V38" s="1500" t="s">
        <v>496</v>
      </c>
      <c r="W38" s="2100" t="s">
        <v>439</v>
      </c>
      <c r="X38" s="2102"/>
      <c r="Y38" s="2100" t="s">
        <v>440</v>
      </c>
      <c r="Z38" s="2101"/>
      <c r="AA38" s="2102"/>
      <c r="AB38" s="2112"/>
      <c r="AC38" s="1500" t="s">
        <v>496</v>
      </c>
      <c r="AD38" s="2100" t="s">
        <v>439</v>
      </c>
      <c r="AE38" s="2102"/>
      <c r="AF38" s="2100" t="s">
        <v>440</v>
      </c>
      <c r="AG38" s="2101"/>
      <c r="AH38" s="2102"/>
      <c r="AI38" s="2112"/>
      <c r="AJ38" s="2115"/>
      <c r="AK38" s="1953"/>
    </row>
    <row customHeight="1" ht="86.25">
      <c r="A39" s="1387"/>
      <c r="B39" s="1387" t="s">
        <v>134</v>
      </c>
      <c r="C39" s="1387" t="s">
        <v>135</v>
      </c>
      <c r="D39" s="1387" t="s">
        <v>136</v>
      </c>
      <c r="E39" s="1381" t="s">
        <v>441</v>
      </c>
      <c r="F39" s="1381" t="s">
        <v>442</v>
      </c>
      <c r="G39" s="1381" t="s">
        <v>443</v>
      </c>
      <c r="H39" s="1381"/>
      <c r="I39" s="1381" t="s">
        <v>497</v>
      </c>
      <c r="J39" s="1381" t="s">
        <v>446</v>
      </c>
      <c r="K39" s="1381" t="s">
        <v>498</v>
      </c>
      <c r="L39" s="1381" t="s">
        <v>422</v>
      </c>
      <c r="Q39" s="368"/>
      <c r="R39" s="368"/>
      <c r="S39" s="2107"/>
      <c r="T39" s="2044"/>
      <c r="U39" s="282"/>
      <c r="V39" s="1500" t="s">
        <v>523</v>
      </c>
      <c r="W39" s="1224" t="s">
        <v>524</v>
      </c>
      <c r="X39" s="1224" t="s">
        <v>501</v>
      </c>
      <c r="Y39" s="1506" t="s">
        <v>450</v>
      </c>
      <c r="Z39" s="2103" t="s">
        <v>451</v>
      </c>
      <c r="AA39" s="2104"/>
      <c r="AB39" s="2113"/>
      <c r="AC39" s="1500" t="s">
        <v>523</v>
      </c>
      <c r="AD39" s="1224" t="s">
        <v>524</v>
      </c>
      <c r="AE39" s="1224" t="s">
        <v>501</v>
      </c>
      <c r="AF39" s="1506" t="s">
        <v>450</v>
      </c>
      <c r="AG39" s="2103" t="s">
        <v>451</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108</v>
      </c>
      <c r="T40" s="1268" t="s">
        <v>109</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271</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122</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271</v>
      </c>
      <c r="B42" s="1380" t="s">
        <v>272</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404</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405</v>
      </c>
      <c r="AM42" s="496"/>
      <c r="AN42" s="496" t="str">
        <f>IF(T42="","",T42)</f>
        <v>Территория действия тарифа</v>
      </c>
      <c r="AO42" s="496"/>
      <c r="AP42" s="496"/>
    </row>
    <row customHeight="1" ht="23.25">
      <c r="A43" s="1380" t="s">
        <v>271</v>
      </c>
      <c r="B43" s="1380" t="s">
        <v>272</v>
      </c>
      <c r="C43" s="1380" t="s">
        <v>273</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521</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522</v>
      </c>
      <c r="AM43" s="496"/>
      <c r="AN43" s="496" t="str">
        <f>IF(T43="","",T43)</f>
        <v>Наименование централизованной системы водоотведения</v>
      </c>
      <c r="AO43" s="496"/>
      <c r="AP43" s="496"/>
    </row>
    <row customHeight="1" ht="23.25">
      <c r="A44" s="1380" t="s">
        <v>271</v>
      </c>
      <c r="B44" s="1380" t="s">
        <v>272</v>
      </c>
      <c r="C44" s="1380" t="s">
        <v>273</v>
      </c>
      <c r="D44" s="1380" t="s">
        <v>525</v>
      </c>
      <c r="E44" s="2090"/>
      <c r="F44" s="2090"/>
      <c r="G44" s="2090"/>
      <c r="H44" s="2090"/>
      <c r="I44" s="2091" t="str">
        <f>S43&amp;".1"</f>
        <v>...1</v>
      </c>
      <c r="J44" s="1380"/>
      <c r="K44" s="1380"/>
      <c r="L44" s="1381"/>
      <c r="P44" s="2093">
        <v>1</v>
      </c>
      <c r="Q44" s="1498"/>
      <c r="R44" s="344"/>
      <c r="S44" s="1510" t="str">
        <f>$I44</f>
        <v>...1</v>
      </c>
      <c r="T44" s="266" t="s">
        <v>490</v>
      </c>
      <c r="U44" s="280"/>
      <c r="V44" s="2176"/>
      <c r="W44" s="2177"/>
      <c r="X44" s="2177"/>
      <c r="Y44" s="2177"/>
      <c r="Z44" s="2177"/>
      <c r="AA44" s="2177"/>
      <c r="AB44" s="2178"/>
      <c r="AC44" s="2179"/>
      <c r="AD44" s="2180"/>
      <c r="AE44" s="2180"/>
      <c r="AF44" s="2180"/>
      <c r="AG44" s="2180"/>
      <c r="AH44" s="2180"/>
      <c r="AI44" s="2180"/>
      <c r="AJ44" s="2181"/>
      <c r="AK44" s="1273" t="s">
        <v>491</v>
      </c>
      <c r="AM44" s="496"/>
      <c r="AN44" s="496" t="str">
        <f>IF(T44="","",T44)</f>
        <v>Наименование признака дифференциации</v>
      </c>
      <c r="AO44" s="496"/>
      <c r="AP44" s="496"/>
    </row>
    <row customHeight="1" ht="23.25">
      <c r="A45" s="1380" t="s">
        <v>271</v>
      </c>
      <c r="B45" s="1380" t="s">
        <v>272</v>
      </c>
      <c r="C45" s="1380" t="s">
        <v>273</v>
      </c>
      <c r="D45" s="1380" t="s">
        <v>525</v>
      </c>
      <c r="E45" s="2090"/>
      <c r="F45" s="2090"/>
      <c r="G45" s="2090"/>
      <c r="H45" s="2090"/>
      <c r="I45" s="2092"/>
      <c r="J45" s="2091" t="str">
        <f>I44&amp;".1"</f>
        <v>...1.1</v>
      </c>
      <c r="K45" s="1380"/>
      <c r="L45" s="1381" t="s">
        <v>413</v>
      </c>
      <c r="P45" s="2093"/>
      <c r="Q45" s="2093">
        <v>1</v>
      </c>
      <c r="R45" s="345"/>
      <c r="S45" s="1510" t="str">
        <f>$J45</f>
        <v>...1.1</v>
      </c>
      <c r="T45" s="267" t="s">
        <v>414</v>
      </c>
      <c r="U45" s="280"/>
      <c r="V45" s="2077"/>
      <c r="W45" s="2078"/>
      <c r="X45" s="2078"/>
      <c r="Y45" s="2078"/>
      <c r="Z45" s="2078"/>
      <c r="AA45" s="2078"/>
      <c r="AB45" s="2079"/>
      <c r="AC45" s="2077"/>
      <c r="AD45" s="2078"/>
      <c r="AE45" s="2078"/>
      <c r="AF45" s="2078"/>
      <c r="AG45" s="2078"/>
      <c r="AH45" s="2078"/>
      <c r="AI45" s="2078"/>
      <c r="AJ45" s="2079"/>
      <c r="AK45" s="1324" t="s">
        <v>492</v>
      </c>
      <c r="AM45" s="496"/>
      <c r="AN45" s="496" t="str">
        <f>IF(T45="","",T45)</f>
        <v>Группа потребителей</v>
      </c>
      <c r="AO45" s="496"/>
      <c r="AP45" s="496"/>
    </row>
    <row customHeight="1" ht="23.25">
      <c r="A46" s="1380" t="s">
        <v>271</v>
      </c>
      <c r="B46" s="1380" t="s">
        <v>272</v>
      </c>
      <c r="C46" s="1380" t="s">
        <v>273</v>
      </c>
      <c r="D46" s="1380" t="s">
        <v>525</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66</v>
      </c>
      <c r="AA46" s="2087"/>
      <c r="AB46" s="2086" t="s">
        <v>66</v>
      </c>
      <c r="AC46" s="746"/>
      <c r="AD46" s="746"/>
      <c r="AE46" s="1272"/>
      <c r="AF46" s="2094"/>
      <c r="AG46" s="1963" t="s">
        <v>66</v>
      </c>
      <c r="AH46" s="2096"/>
      <c r="AI46" s="1963" t="s">
        <v>56</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271</v>
      </c>
      <c r="B47" s="1380" t="s">
        <v>272</v>
      </c>
      <c r="C47" s="1380" t="s">
        <v>273</v>
      </c>
      <c r="D47" s="1380" t="s">
        <v>525</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271</v>
      </c>
      <c r="B48" s="1380" t="s">
        <v>272</v>
      </c>
      <c r="C48" s="1380" t="s">
        <v>273</v>
      </c>
      <c r="D48" s="1380" t="s">
        <v>525</v>
      </c>
      <c r="E48" s="2090"/>
      <c r="F48" s="2090"/>
      <c r="G48" s="2090"/>
      <c r="H48" s="2090"/>
      <c r="I48" s="2092"/>
      <c r="J48" s="2091"/>
      <c r="K48" s="1380"/>
      <c r="L48" s="1381"/>
      <c r="P48" s="2093"/>
      <c r="Q48" s="2093"/>
      <c r="R48" s="344"/>
      <c r="S48" s="1295"/>
      <c r="T48" s="268" t="s">
        <v>493</v>
      </c>
      <c r="U48" s="359"/>
      <c r="V48" s="359"/>
      <c r="W48" s="359"/>
      <c r="X48" s="359"/>
      <c r="Y48" s="359"/>
      <c r="Z48" s="359"/>
      <c r="AA48" s="359"/>
      <c r="AB48" s="359"/>
      <c r="AC48" s="359"/>
      <c r="AD48" s="359"/>
      <c r="AE48" s="359"/>
      <c r="AF48" s="359"/>
      <c r="AG48" s="359"/>
      <c r="AH48" s="359"/>
      <c r="AI48" s="359"/>
      <c r="AJ48" s="359"/>
      <c r="AK48" s="1273" t="s">
        <v>494</v>
      </c>
      <c r="AM48" s="496"/>
      <c r="AN48" s="496" t="str">
        <f>IF(T48="","",T48)</f>
        <v>Добавить значение признака дифференциации</v>
      </c>
      <c r="AO48" s="496"/>
      <c r="AP48" s="496"/>
    </row>
    <row customHeight="1" ht="21">
      <c r="A49" s="1380" t="s">
        <v>271</v>
      </c>
      <c r="B49" s="1380" t="s">
        <v>272</v>
      </c>
      <c r="C49" s="1380" t="s">
        <v>273</v>
      </c>
      <c r="D49" s="1380" t="s">
        <v>525</v>
      </c>
      <c r="E49" s="2090"/>
      <c r="F49" s="2090"/>
      <c r="G49" s="2090"/>
      <c r="H49" s="2090"/>
      <c r="I49" s="2091"/>
      <c r="J49" s="1380"/>
      <c r="K49" s="1380"/>
      <c r="L49" s="1381"/>
      <c r="P49" s="2093"/>
      <c r="Q49" s="1498"/>
      <c r="R49" s="344"/>
      <c r="S49" s="1295"/>
      <c r="T49" s="356" t="s">
        <v>419</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271</v>
      </c>
      <c r="B50" s="1380" t="s">
        <v>272</v>
      </c>
      <c r="C50" s="1380" t="s">
        <v>273</v>
      </c>
      <c r="D50" s="1380" t="s">
        <v>525</v>
      </c>
      <c r="E50" s="2090"/>
      <c r="F50" s="2090"/>
      <c r="G50" s="2090"/>
      <c r="H50" s="2089"/>
      <c r="I50" s="1380"/>
      <c r="J50" s="1380"/>
      <c r="K50" s="1380"/>
      <c r="L50" s="1381"/>
      <c r="M50" s="1382"/>
      <c r="N50" s="1382"/>
      <c r="O50" s="533"/>
      <c r="P50" s="348"/>
      <c r="Q50" s="367"/>
      <c r="R50" s="343"/>
      <c r="S50" s="1295"/>
      <c r="T50" s="364" t="s">
        <v>495</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271</v>
      </c>
      <c r="B51" s="1360" t="s">
        <v>272</v>
      </c>
      <c r="C51" s="1331"/>
      <c r="D51" s="1331"/>
      <c r="E51" s="2090"/>
      <c r="F51" s="2089"/>
      <c r="G51" s="1331"/>
      <c r="H51" s="1331"/>
      <c r="I51" s="1331"/>
      <c r="J51" s="1331"/>
      <c r="K51" s="1331"/>
      <c r="L51" s="1511"/>
      <c r="M51" s="1338"/>
      <c r="N51" s="1338"/>
      <c r="P51" s="1333"/>
      <c r="Q51" s="1334"/>
      <c r="R51" s="1333"/>
      <c r="S51" s="1339"/>
      <c r="T51" s="1342" t="s">
        <v>167</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271</v>
      </c>
      <c r="B52" s="1360"/>
      <c r="C52" s="1360"/>
      <c r="D52" s="1360"/>
      <c r="E52" s="2089"/>
      <c r="F52" s="1360"/>
      <c r="G52" s="1360"/>
      <c r="H52" s="1360"/>
      <c r="I52" s="1360"/>
      <c r="J52" s="1360"/>
      <c r="K52" s="1360"/>
      <c r="L52" s="1363"/>
      <c r="M52" s="1338"/>
      <c r="N52" s="1338"/>
      <c r="O52" s="514"/>
      <c r="P52" s="376"/>
      <c r="Q52" s="1361"/>
      <c r="R52" s="376"/>
      <c r="S52" s="1339"/>
      <c r="T52" s="1342" t="s">
        <v>168</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180</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1194E3-0726-35B5-7BA7-116B576123AF}"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122</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404</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405</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521</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522</v>
      </c>
      <c r="AM4" s="496"/>
      <c r="AN4" s="496" t="str">
        <f>IF(T4="","",T4)</f>
        <v>Наименование централизованной системы водоотведения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490</v>
      </c>
      <c r="U5" s="280"/>
      <c r="V5" s="2176"/>
      <c r="W5" s="2177"/>
      <c r="X5" s="2177"/>
      <c r="Y5" s="2177"/>
      <c r="Z5" s="2177"/>
      <c r="AA5" s="2177"/>
      <c r="AB5" s="2178"/>
      <c r="AC5" s="2179"/>
      <c r="AD5" s="2180"/>
      <c r="AE5" s="2180"/>
      <c r="AF5" s="2180"/>
      <c r="AG5" s="2180"/>
      <c r="AH5" s="2180"/>
      <c r="AI5" s="2180"/>
      <c r="AJ5" s="2181"/>
      <c r="AK5" s="1273" t="s">
        <v>491</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413</v>
      </c>
      <c r="P6" s="2093"/>
      <c r="Q6" s="2093">
        <v>1</v>
      </c>
      <c r="R6" s="345"/>
      <c r="S6" s="1510">
        <f>$J6</f>
      </c>
      <c r="T6" s="267" t="s">
        <v>414</v>
      </c>
      <c r="U6" s="280"/>
      <c r="V6" s="2077"/>
      <c r="W6" s="2078"/>
      <c r="X6" s="2078"/>
      <c r="Y6" s="2078"/>
      <c r="Z6" s="2078"/>
      <c r="AA6" s="2078"/>
      <c r="AB6" s="2079"/>
      <c r="AC6" s="2077"/>
      <c r="AD6" s="2078"/>
      <c r="AE6" s="2078"/>
      <c r="AF6" s="2078"/>
      <c r="AG6" s="2078"/>
      <c r="AH6" s="2078"/>
      <c r="AI6" s="2078"/>
      <c r="AJ6" s="2079"/>
      <c r="AK6" s="1324" t="s">
        <v>492</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66</v>
      </c>
      <c r="AA7" s="2094"/>
      <c r="AB7" s="1963" t="s">
        <v>66</v>
      </c>
      <c r="AC7" s="746"/>
      <c r="AD7" s="746"/>
      <c r="AE7" s="1272"/>
      <c r="AF7" s="2094"/>
      <c r="AG7" s="1963" t="s">
        <v>66</v>
      </c>
      <c r="AH7" s="2096"/>
      <c r="AI7" s="1963" t="s">
        <v>66</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493</v>
      </c>
      <c r="U9" s="359"/>
      <c r="V9" s="359"/>
      <c r="W9" s="359"/>
      <c r="X9" s="359"/>
      <c r="Y9" s="359"/>
      <c r="Z9" s="359"/>
      <c r="AA9" s="359"/>
      <c r="AB9" s="359"/>
      <c r="AC9" s="359"/>
      <c r="AD9" s="359"/>
      <c r="AE9" s="359"/>
      <c r="AF9" s="359"/>
      <c r="AG9" s="359"/>
      <c r="AH9" s="359"/>
      <c r="AI9" s="359"/>
      <c r="AJ9" s="359"/>
      <c r="AK9" s="1273" t="s">
        <v>494</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419</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495</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167</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168</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66</v>
      </c>
      <c r="AH15" s="2087"/>
      <c r="AI15" s="2086" t="s">
        <v>66</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421</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422</v>
      </c>
      <c r="P20" s="1379"/>
      <c r="Q20" s="1459"/>
      <c r="R20" s="1459"/>
      <c r="S20" s="724"/>
      <c r="T20" s="1155" t="s">
        <v>423</v>
      </c>
      <c r="Z20" s="166" t="s">
        <v>424</v>
      </c>
      <c r="AB20" s="166" t="s">
        <v>425</v>
      </c>
      <c r="AC20" s="1155" t="s">
        <v>423</v>
      </c>
      <c r="AG20" s="166" t="s">
        <v>426</v>
      </c>
      <c r="AI20" s="166" t="s">
        <v>425</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ООО "ПРОМ ИМПУЛЬС"</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Комитет по тарифам Санкт-Петербурга</v>
      </c>
      <c r="W27" s="2082"/>
      <c r="X27" s="2082"/>
      <c r="Y27" s="2082"/>
      <c r="Z27" s="2082"/>
      <c r="AA27" s="2082"/>
      <c r="AB27" s="314"/>
      <c r="AC27" s="2082" t="str">
        <f>IF(TITLE_NAME_OR_PR_CHANGE="",IF(TITLE_NAME_OR_PR="","",TITLE_NAME_OR_PR),TITLE_NAME_OR_PR_CHANGE)</f>
        <v>Комитет по тарифам Санкт-Петербурга</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427</v>
      </c>
      <c r="T28" s="2080"/>
      <c r="U28" s="1389"/>
      <c r="V28" s="2081" t="str">
        <f>IF(TITLE_DATE_PR_CHANGE="",IF(TITLE_DATE_PR="","",TITLE_DATE_PR),TITLE_DATE_PR_CHANGE)</f>
        <v>45268.58207175926</v>
      </c>
      <c r="W28" s="2081"/>
      <c r="X28" s="2081"/>
      <c r="Y28" s="2081"/>
      <c r="Z28" s="2081"/>
      <c r="AA28" s="2081"/>
      <c r="AB28" s="314"/>
      <c r="AC28" s="2081" t="str">
        <f>IF(TITLE_DATE_PR_CHANGE="",IF(TITLE_DATE_PR="","",TITLE_DATE_PR),TITLE_DATE_PR_CHANGE)</f>
        <v>45268.58207175926</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428</v>
      </c>
      <c r="T29" s="2080"/>
      <c r="U29" s="1389"/>
      <c r="V29" s="2082" t="str">
        <f>IF(TITLE_NUMBER_PR_CHANGE="",IF(TITLE_NUMBER_PR="","",TITLE_NUMBER_PR),TITLE_NUMBER_PR_CHANGE)</f>
        <v>237-р</v>
      </c>
      <c r="W29" s="2082"/>
      <c r="X29" s="2082"/>
      <c r="Y29" s="2082"/>
      <c r="Z29" s="2082"/>
      <c r="AA29" s="2082"/>
      <c r="AB29" s="314"/>
      <c r="AC29" s="2082" t="str">
        <f>IF(TITLE_NUMBER_PR_CHANGE="",IF(TITLE_NUMBER_PR="","",TITLE_NUMBER_PR),TITLE_NUMBER_PR_CHANGE)</f>
        <v>237-р</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https://www.gov.spb.ru/gov/otrasl/energ_kom/inform_/standarty-raskrytiya-informacii-komitetom/teplo/</v>
      </c>
      <c r="W30" s="2082"/>
      <c r="X30" s="2082"/>
      <c r="Y30" s="2082"/>
      <c r="Z30" s="2082"/>
      <c r="AA30" s="2082"/>
      <c r="AB30" s="314"/>
      <c r="AC30" s="2082" t="str">
        <f>IF(TITLE_IST_PUB_CHANGE="",IF(TITLE_IST_PUB="","",TITLE_IST_PUB),TITLE_IST_PUB_CHANGE)</f>
        <v>https://www.gov.spb.ru/gov/otrasl/energ_kom/inform_/standarty-raskrytiya-informacii-komitetom/teplo/</v>
      </c>
      <c r="AD30" s="2082"/>
      <c r="AE30" s="2082"/>
      <c r="AF30" s="2082"/>
      <c r="AG30" s="2082"/>
      <c r="AH30" s="2082"/>
      <c r="AI30" s="314"/>
      <c r="AJ30" s="314"/>
      <c r="AK30" s="261"/>
      <c r="AL30" s="360"/>
      <c r="AM30" s="360"/>
      <c r="AN30" s="360"/>
      <c r="AO30" s="360"/>
      <c r="AP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hidden="1">
      <c r="A32" s="1385"/>
      <c r="B32" s="1385"/>
      <c r="C32" s="1385"/>
      <c r="D32" s="1385"/>
      <c r="E32" s="1385"/>
      <c r="F32" s="1385"/>
      <c r="G32" s="1385"/>
      <c r="H32" s="1385"/>
      <c r="I32" s="1385"/>
      <c r="J32" s="1385"/>
      <c r="K32" s="1385"/>
      <c r="L32" s="1386"/>
      <c r="M32" s="1385"/>
      <c r="N32" s="1385"/>
      <c r="O32" s="1385"/>
      <c r="S32" s="2080" t="s">
        <v>429</v>
      </c>
      <c r="T32" s="2080"/>
      <c r="U32" s="1389"/>
      <c r="V32" s="2081" t="str">
        <f>IF(TITLE_DATE_PR_CHANGE="",IF(TITLE_DATE_PR="","",TITLE_DATE_PR),TITLE_DATE_PR_CHANGE)</f>
        <v>45268.58207175926</v>
      </c>
      <c r="W32" s="2081"/>
      <c r="X32" s="2081"/>
      <c r="Y32" s="2081"/>
      <c r="Z32" s="2081"/>
      <c r="AA32" s="2081"/>
      <c r="AB32" s="314"/>
      <c r="AC32" s="2081" t="str">
        <f>IF(TITLE_DATE_PR_CHANGE="",IF(TITLE_DATE_PR="","",TITLE_DATE_PR),TITLE_DATE_PR_CHANGE)</f>
        <v>45268.58207175926</v>
      </c>
      <c r="AD32" s="2081"/>
      <c r="AE32" s="2081"/>
      <c r="AF32" s="2081"/>
      <c r="AG32" s="2081"/>
      <c r="AH32" s="2081"/>
      <c r="AI32" s="314"/>
      <c r="AJ32" s="314"/>
      <c r="AK32" s="261"/>
      <c r="AL32" s="360"/>
      <c r="AM32" s="360"/>
      <c r="AN32" s="360"/>
      <c r="AO32" s="360"/>
      <c r="AP32" s="360"/>
    </row>
    <row s="1877" customFormat="1" customHeight="1" ht="18.75" hidden="1">
      <c r="A33" s="1385"/>
      <c r="B33" s="1385"/>
      <c r="C33" s="1385"/>
      <c r="D33" s="1385"/>
      <c r="E33" s="1385"/>
      <c r="F33" s="1385"/>
      <c r="G33" s="1385"/>
      <c r="H33" s="1385"/>
      <c r="I33" s="1385"/>
      <c r="J33" s="1385"/>
      <c r="K33" s="1385"/>
      <c r="L33" s="1386"/>
      <c r="M33" s="1385"/>
      <c r="N33" s="1385"/>
      <c r="O33" s="1385"/>
      <c r="S33" s="2080" t="s">
        <v>430</v>
      </c>
      <c r="T33" s="2080"/>
      <c r="U33" s="1389"/>
      <c r="V33" s="2082" t="str">
        <f>IF(TITLE_NUMBER_PR_CHANGE="",IF(TITLE_NUMBER_PR="","",TITLE_NUMBER_PR),TITLE_NUMBER_PR_CHANGE)</f>
        <v>237-р</v>
      </c>
      <c r="W33" s="2082"/>
      <c r="X33" s="2082"/>
      <c r="Y33" s="2082"/>
      <c r="Z33" s="2082"/>
      <c r="AA33" s="2082"/>
      <c r="AB33" s="314"/>
      <c r="AC33" s="2082" t="str">
        <f>IF(TITLE_NUMBER_PR_CHANGE="",IF(TITLE_NUMBER_PR="","",TITLE_NUMBER_PR),TITLE_NUMBER_PR_CHANGE)</f>
        <v>237-р</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431</v>
      </c>
      <c r="AC34" s="314"/>
      <c r="AD34" s="314"/>
      <c r="AE34" s="314"/>
      <c r="AF34" s="314"/>
      <c r="AG34" s="314"/>
      <c r="AH34" s="314"/>
      <c r="AI34" s="259" t="s">
        <v>431</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305</v>
      </c>
      <c r="T36" s="1953"/>
      <c r="U36" s="1953"/>
      <c r="V36" s="1953"/>
      <c r="W36" s="1953"/>
      <c r="X36" s="1953"/>
      <c r="Y36" s="1953"/>
      <c r="Z36" s="1953"/>
      <c r="AA36" s="1953"/>
      <c r="AB36" s="1953"/>
      <c r="AC36" s="1953"/>
      <c r="AD36" s="1953"/>
      <c r="AE36" s="1953"/>
      <c r="AF36" s="1953"/>
      <c r="AG36" s="1953"/>
      <c r="AH36" s="1953"/>
      <c r="AI36" s="1953"/>
      <c r="AJ36" s="1953"/>
      <c r="AK36" s="1953" t="s">
        <v>306</v>
      </c>
    </row>
    <row customHeight="1" ht="14.25">
      <c r="Q37" s="368"/>
      <c r="R37" s="368"/>
      <c r="S37" s="2107" t="s">
        <v>87</v>
      </c>
      <c r="T37" s="2044" t="s">
        <v>432</v>
      </c>
      <c r="U37" s="281"/>
      <c r="V37" s="2108" t="s">
        <v>433</v>
      </c>
      <c r="W37" s="2109"/>
      <c r="X37" s="2109"/>
      <c r="Y37" s="2109"/>
      <c r="Z37" s="2109"/>
      <c r="AA37" s="2110"/>
      <c r="AB37" s="2111" t="s">
        <v>434</v>
      </c>
      <c r="AC37" s="2108" t="s">
        <v>433</v>
      </c>
      <c r="AD37" s="2109"/>
      <c r="AE37" s="2109"/>
      <c r="AF37" s="2109"/>
      <c r="AG37" s="2109"/>
      <c r="AH37" s="2110"/>
      <c r="AI37" s="2111" t="s">
        <v>435</v>
      </c>
      <c r="AJ37" s="2114" t="s">
        <v>436</v>
      </c>
      <c r="AK37" s="1953"/>
    </row>
    <row customHeight="1" ht="33.75">
      <c r="Q38" s="368"/>
      <c r="R38" s="368"/>
      <c r="S38" s="2107"/>
      <c r="T38" s="2044"/>
      <c r="U38" s="1026"/>
      <c r="V38" s="1500" t="s">
        <v>496</v>
      </c>
      <c r="W38" s="2100" t="s">
        <v>439</v>
      </c>
      <c r="X38" s="2102"/>
      <c r="Y38" s="2100" t="s">
        <v>440</v>
      </c>
      <c r="Z38" s="2101"/>
      <c r="AA38" s="2102"/>
      <c r="AB38" s="2112"/>
      <c r="AC38" s="1500" t="s">
        <v>496</v>
      </c>
      <c r="AD38" s="2100" t="s">
        <v>439</v>
      </c>
      <c r="AE38" s="2102"/>
      <c r="AF38" s="2100" t="s">
        <v>440</v>
      </c>
      <c r="AG38" s="2101"/>
      <c r="AH38" s="2102"/>
      <c r="AI38" s="2112"/>
      <c r="AJ38" s="2115"/>
      <c r="AK38" s="1953"/>
    </row>
    <row customHeight="1" ht="86.25">
      <c r="A39" s="1387"/>
      <c r="B39" s="1387" t="s">
        <v>134</v>
      </c>
      <c r="C39" s="1387" t="s">
        <v>135</v>
      </c>
      <c r="D39" s="1387" t="s">
        <v>136</v>
      </c>
      <c r="E39" s="1381" t="s">
        <v>441</v>
      </c>
      <c r="F39" s="1381" t="s">
        <v>442</v>
      </c>
      <c r="G39" s="1381" t="s">
        <v>443</v>
      </c>
      <c r="H39" s="1381"/>
      <c r="I39" s="1381" t="s">
        <v>497</v>
      </c>
      <c r="J39" s="1381" t="s">
        <v>446</v>
      </c>
      <c r="K39" s="1381" t="s">
        <v>498</v>
      </c>
      <c r="L39" s="1381" t="s">
        <v>422</v>
      </c>
      <c r="Q39" s="368"/>
      <c r="R39" s="368"/>
      <c r="S39" s="2107"/>
      <c r="T39" s="2044"/>
      <c r="U39" s="282"/>
      <c r="V39" s="1500" t="s">
        <v>523</v>
      </c>
      <c r="W39" s="1224" t="s">
        <v>524</v>
      </c>
      <c r="X39" s="1224" t="s">
        <v>501</v>
      </c>
      <c r="Y39" s="1506" t="s">
        <v>450</v>
      </c>
      <c r="Z39" s="2103" t="s">
        <v>451</v>
      </c>
      <c r="AA39" s="2104"/>
      <c r="AB39" s="2113"/>
      <c r="AC39" s="1500" t="s">
        <v>523</v>
      </c>
      <c r="AD39" s="1224" t="s">
        <v>524</v>
      </c>
      <c r="AE39" s="1224" t="s">
        <v>501</v>
      </c>
      <c r="AF39" s="1506" t="s">
        <v>450</v>
      </c>
      <c r="AG39" s="2103" t="s">
        <v>451</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108</v>
      </c>
      <c r="T40" s="1268" t="s">
        <v>109</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276</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122</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276</v>
      </c>
      <c r="B42" s="1380" t="s">
        <v>277</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404</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405</v>
      </c>
      <c r="AM42" s="496"/>
      <c r="AN42" s="496" t="str">
        <f>IF(T42="","",T42)</f>
        <v>Территория действия тарифа</v>
      </c>
      <c r="AO42" s="496"/>
      <c r="AP42" s="496"/>
    </row>
    <row customHeight="1" ht="23.25">
      <c r="A43" s="1380" t="s">
        <v>276</v>
      </c>
      <c r="B43" s="1380" t="s">
        <v>277</v>
      </c>
      <c r="C43" s="1380" t="s">
        <v>278</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521</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522</v>
      </c>
      <c r="AM43" s="496"/>
      <c r="AN43" s="496" t="str">
        <f>IF(T43="","",T43)</f>
        <v>Наименование централизованной системы водоотведения</v>
      </c>
      <c r="AO43" s="496"/>
      <c r="AP43" s="496"/>
    </row>
    <row customHeight="1" ht="23.25">
      <c r="A44" s="1380" t="s">
        <v>276</v>
      </c>
      <c r="B44" s="1380" t="s">
        <v>277</v>
      </c>
      <c r="C44" s="1380" t="s">
        <v>278</v>
      </c>
      <c r="D44" s="1380" t="s">
        <v>526</v>
      </c>
      <c r="E44" s="2090"/>
      <c r="F44" s="2090"/>
      <c r="G44" s="2090"/>
      <c r="H44" s="2090"/>
      <c r="I44" s="2091" t="str">
        <f>S43&amp;".1"</f>
        <v>...1</v>
      </c>
      <c r="J44" s="1380"/>
      <c r="K44" s="1380"/>
      <c r="L44" s="1381"/>
      <c r="P44" s="2093">
        <v>1</v>
      </c>
      <c r="Q44" s="1498"/>
      <c r="R44" s="344"/>
      <c r="S44" s="1510" t="str">
        <f>$I44</f>
        <v>...1</v>
      </c>
      <c r="T44" s="266" t="s">
        <v>490</v>
      </c>
      <c r="U44" s="280"/>
      <c r="V44" s="2176"/>
      <c r="W44" s="2177"/>
      <c r="X44" s="2177"/>
      <c r="Y44" s="2177"/>
      <c r="Z44" s="2177"/>
      <c r="AA44" s="2177"/>
      <c r="AB44" s="2178"/>
      <c r="AC44" s="2179"/>
      <c r="AD44" s="2180"/>
      <c r="AE44" s="2180"/>
      <c r="AF44" s="2180"/>
      <c r="AG44" s="2180"/>
      <c r="AH44" s="2180"/>
      <c r="AI44" s="2180"/>
      <c r="AJ44" s="2181"/>
      <c r="AK44" s="1273" t="s">
        <v>491</v>
      </c>
      <c r="AM44" s="496"/>
      <c r="AN44" s="496" t="str">
        <f>IF(T44="","",T44)</f>
        <v>Наименование признака дифференциации</v>
      </c>
      <c r="AO44" s="496"/>
      <c r="AP44" s="496"/>
    </row>
    <row customHeight="1" ht="23.25">
      <c r="A45" s="1380" t="s">
        <v>276</v>
      </c>
      <c r="B45" s="1380" t="s">
        <v>277</v>
      </c>
      <c r="C45" s="1380" t="s">
        <v>278</v>
      </c>
      <c r="D45" s="1380" t="s">
        <v>526</v>
      </c>
      <c r="E45" s="2090"/>
      <c r="F45" s="2090"/>
      <c r="G45" s="2090"/>
      <c r="H45" s="2090"/>
      <c r="I45" s="2092"/>
      <c r="J45" s="2091" t="str">
        <f>I44&amp;".1"</f>
        <v>...1.1</v>
      </c>
      <c r="K45" s="1380"/>
      <c r="L45" s="1381" t="s">
        <v>413</v>
      </c>
      <c r="P45" s="2093"/>
      <c r="Q45" s="2093">
        <v>1</v>
      </c>
      <c r="R45" s="345"/>
      <c r="S45" s="1510" t="str">
        <f>$J45</f>
        <v>...1.1</v>
      </c>
      <c r="T45" s="267" t="s">
        <v>414</v>
      </c>
      <c r="U45" s="280"/>
      <c r="V45" s="2077"/>
      <c r="W45" s="2078"/>
      <c r="X45" s="2078"/>
      <c r="Y45" s="2078"/>
      <c r="Z45" s="2078"/>
      <c r="AA45" s="2078"/>
      <c r="AB45" s="2079"/>
      <c r="AC45" s="2077"/>
      <c r="AD45" s="2078"/>
      <c r="AE45" s="2078"/>
      <c r="AF45" s="2078"/>
      <c r="AG45" s="2078"/>
      <c r="AH45" s="2078"/>
      <c r="AI45" s="2078"/>
      <c r="AJ45" s="2079"/>
      <c r="AK45" s="1324" t="s">
        <v>492</v>
      </c>
      <c r="AM45" s="496"/>
      <c r="AN45" s="496" t="str">
        <f>IF(T45="","",T45)</f>
        <v>Группа потребителей</v>
      </c>
      <c r="AO45" s="496"/>
      <c r="AP45" s="496"/>
    </row>
    <row customHeight="1" ht="23.25">
      <c r="A46" s="1380" t="s">
        <v>276</v>
      </c>
      <c r="B46" s="1380" t="s">
        <v>277</v>
      </c>
      <c r="C46" s="1380" t="s">
        <v>278</v>
      </c>
      <c r="D46" s="1380" t="s">
        <v>526</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66</v>
      </c>
      <c r="AA46" s="2087"/>
      <c r="AB46" s="2086" t="s">
        <v>66</v>
      </c>
      <c r="AC46" s="746"/>
      <c r="AD46" s="746"/>
      <c r="AE46" s="1272"/>
      <c r="AF46" s="2094"/>
      <c r="AG46" s="1963" t="s">
        <v>66</v>
      </c>
      <c r="AH46" s="2096"/>
      <c r="AI46" s="1963" t="s">
        <v>56</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276</v>
      </c>
      <c r="B47" s="1380" t="s">
        <v>277</v>
      </c>
      <c r="C47" s="1380" t="s">
        <v>278</v>
      </c>
      <c r="D47" s="1380" t="s">
        <v>526</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276</v>
      </c>
      <c r="B48" s="1380" t="s">
        <v>277</v>
      </c>
      <c r="C48" s="1380" t="s">
        <v>278</v>
      </c>
      <c r="D48" s="1380" t="s">
        <v>526</v>
      </c>
      <c r="E48" s="2090"/>
      <c r="F48" s="2090"/>
      <c r="G48" s="2090"/>
      <c r="H48" s="2090"/>
      <c r="I48" s="2092"/>
      <c r="J48" s="2091"/>
      <c r="K48" s="1380"/>
      <c r="L48" s="1381"/>
      <c r="P48" s="2093"/>
      <c r="Q48" s="2093"/>
      <c r="R48" s="344"/>
      <c r="S48" s="1295"/>
      <c r="T48" s="268" t="s">
        <v>493</v>
      </c>
      <c r="U48" s="359"/>
      <c r="V48" s="359"/>
      <c r="W48" s="359"/>
      <c r="X48" s="359"/>
      <c r="Y48" s="359"/>
      <c r="Z48" s="359"/>
      <c r="AA48" s="359"/>
      <c r="AB48" s="359"/>
      <c r="AC48" s="359"/>
      <c r="AD48" s="359"/>
      <c r="AE48" s="359"/>
      <c r="AF48" s="359"/>
      <c r="AG48" s="359"/>
      <c r="AH48" s="359"/>
      <c r="AI48" s="359"/>
      <c r="AJ48" s="359"/>
      <c r="AK48" s="1273" t="s">
        <v>494</v>
      </c>
      <c r="AM48" s="496"/>
      <c r="AN48" s="496" t="str">
        <f>IF(T48="","",T48)</f>
        <v>Добавить значение признака дифференциации</v>
      </c>
      <c r="AO48" s="496"/>
      <c r="AP48" s="496"/>
    </row>
    <row customHeight="1" ht="21">
      <c r="A49" s="1380" t="s">
        <v>276</v>
      </c>
      <c r="B49" s="1380" t="s">
        <v>277</v>
      </c>
      <c r="C49" s="1380" t="s">
        <v>278</v>
      </c>
      <c r="D49" s="1380" t="s">
        <v>526</v>
      </c>
      <c r="E49" s="2090"/>
      <c r="F49" s="2090"/>
      <c r="G49" s="2090"/>
      <c r="H49" s="2090"/>
      <c r="I49" s="2091"/>
      <c r="J49" s="1380"/>
      <c r="K49" s="1380"/>
      <c r="L49" s="1381"/>
      <c r="P49" s="2093"/>
      <c r="Q49" s="1498"/>
      <c r="R49" s="344"/>
      <c r="S49" s="1295"/>
      <c r="T49" s="356" t="s">
        <v>419</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276</v>
      </c>
      <c r="B50" s="1380" t="s">
        <v>277</v>
      </c>
      <c r="C50" s="1380" t="s">
        <v>278</v>
      </c>
      <c r="D50" s="1380" t="s">
        <v>526</v>
      </c>
      <c r="E50" s="2090"/>
      <c r="F50" s="2090"/>
      <c r="G50" s="2090"/>
      <c r="H50" s="2089"/>
      <c r="I50" s="1380"/>
      <c r="J50" s="1380"/>
      <c r="K50" s="1380"/>
      <c r="L50" s="1381"/>
      <c r="M50" s="1382"/>
      <c r="N50" s="1382"/>
      <c r="O50" s="533"/>
      <c r="P50" s="348"/>
      <c r="Q50" s="367"/>
      <c r="R50" s="343"/>
      <c r="S50" s="1295"/>
      <c r="T50" s="364" t="s">
        <v>495</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276</v>
      </c>
      <c r="B51" s="1360" t="s">
        <v>277</v>
      </c>
      <c r="C51" s="1331"/>
      <c r="D51" s="1331"/>
      <c r="E51" s="2090"/>
      <c r="F51" s="2089"/>
      <c r="G51" s="1331"/>
      <c r="H51" s="1331"/>
      <c r="I51" s="1331"/>
      <c r="J51" s="1331"/>
      <c r="K51" s="1331"/>
      <c r="L51" s="1511"/>
      <c r="M51" s="1338"/>
      <c r="N51" s="1338"/>
      <c r="P51" s="1333"/>
      <c r="Q51" s="1334"/>
      <c r="R51" s="1333"/>
      <c r="S51" s="1339"/>
      <c r="T51" s="1342" t="s">
        <v>167</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276</v>
      </c>
      <c r="B52" s="1360"/>
      <c r="C52" s="1360"/>
      <c r="D52" s="1360"/>
      <c r="E52" s="2089"/>
      <c r="F52" s="1360"/>
      <c r="G52" s="1360"/>
      <c r="H52" s="1360"/>
      <c r="I52" s="1360"/>
      <c r="J52" s="1360"/>
      <c r="K52" s="1360"/>
      <c r="L52" s="1363"/>
      <c r="M52" s="1338"/>
      <c r="N52" s="1338"/>
      <c r="O52" s="514"/>
      <c r="P52" s="376"/>
      <c r="Q52" s="1361"/>
      <c r="R52" s="376"/>
      <c r="S52" s="1339"/>
      <c r="T52" s="1342" t="s">
        <v>168</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180</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CC5451-7078-2137-67F6-AA5783684F35}"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3" width="11.57421875" hidden="1" customWidth="1"/>
    <col min="2" max="2" style="1383" width="11.00390625" hidden="1" customWidth="1"/>
    <col min="3" max="3" style="1383" width="10.57421875" hidden="1"/>
    <col min="4" max="4" style="1383" width="12.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5" style="1660" width="21.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2" style="1660" width="3.7109375" customWidth="1"/>
    <col min="33" max="33" style="1660" width="24.7109375" customWidth="1"/>
    <col min="34" max="36" style="1660" width="3.7109375" customWidth="1"/>
    <col min="37" max="37" style="1660" width="24.7109375" customWidth="1"/>
    <col min="38" max="40" style="1660" width="3.7109375" customWidth="1"/>
    <col min="41" max="41" style="1660" width="18.8515625" customWidth="1"/>
    <col min="42" max="44" style="1660" width="3.7109375" customWidth="1"/>
    <col min="45" max="45" style="1660" width="18.8515625" customWidth="1"/>
    <col min="46" max="49" style="1660" width="21.7109375" customWidth="1"/>
    <col min="50" max="50" style="1660" width="11.7109375" customWidth="1"/>
    <col min="51" max="51" style="1660" width="3.7109375" customWidth="1"/>
    <col min="52" max="52" style="1660" width="11.7109375" customWidth="1"/>
    <col min="53" max="53" style="1660" width="8.57421875" hidden="1" customWidth="1"/>
    <col min="54" max="54" style="1660" width="4.7109375" customWidth="1"/>
    <col min="55" max="55" style="1660" width="115.7109375" customWidth="1"/>
    <col min="56" max="57" style="1667" width="10.57421875"/>
    <col min="58" max="58" style="1667" width="11.140625" customWidth="1"/>
    <col min="59" max="60" style="1667" width="10.57421875"/>
  </cols>
  <sheetData>
    <row customHeight="1" ht="14.25" hidden="1">
      <c r="W1" s="315"/>
      <c r="Y1" s="315"/>
      <c r="Z1" s="315"/>
      <c r="AW1" s="315"/>
      <c r="AX1" s="315"/>
    </row>
    <row customHeight="1" ht="21" hidden="1">
      <c r="A2" s="1380"/>
      <c r="B2" s="1380"/>
      <c r="C2" s="1380"/>
      <c r="D2" s="1380"/>
      <c r="E2" s="2089">
        <v>1</v>
      </c>
      <c r="F2" s="1380"/>
      <c r="G2" s="1380"/>
      <c r="H2" s="1380"/>
      <c r="I2" s="1380"/>
      <c r="J2" s="1380"/>
      <c r="K2" s="1380"/>
      <c r="L2" s="1381"/>
      <c r="M2" s="1382"/>
      <c r="N2" s="1382"/>
      <c r="O2" s="1382"/>
      <c r="P2" s="1426"/>
      <c r="Q2" s="867"/>
      <c r="R2" s="343"/>
      <c r="S2" s="1510">
        <f>INDEX(PT_DIFFERENTIATION_NUM_NTAR,MATCH(A2,PT_DIFFERENTIATION_NTAR_ID,0))</f>
      </c>
      <c r="T2" s="278" t="s">
        <v>122</v>
      </c>
      <c r="U2" s="280"/>
      <c r="V2" s="2084"/>
      <c r="W2" s="2084"/>
      <c r="X2" s="2084"/>
      <c r="Y2" s="2084"/>
      <c r="Z2" s="2084"/>
      <c r="AA2" s="2084"/>
      <c r="AB2" s="2084"/>
      <c r="AC2" s="2085"/>
      <c r="AD2" s="2083">
        <f>INDEX(PT_DIFFERENTIATION_NTAR,MATCH(A2,PT_DIFFERENTIATION_NTAR_ID,0))</f>
      </c>
      <c r="AE2" s="2084"/>
      <c r="AF2" s="2084"/>
      <c r="AG2" s="2084"/>
      <c r="AH2" s="2084"/>
      <c r="AI2" s="2084"/>
      <c r="AJ2" s="2084"/>
      <c r="AK2" s="2084"/>
      <c r="AL2" s="2084"/>
      <c r="AM2" s="2084"/>
      <c r="AN2" s="2084"/>
      <c r="AO2" s="2084"/>
      <c r="AP2" s="2084"/>
      <c r="AQ2" s="2084"/>
      <c r="AR2" s="2084"/>
      <c r="AS2" s="2084"/>
      <c r="AT2" s="2084"/>
      <c r="AU2" s="2084"/>
      <c r="AV2" s="2084"/>
      <c r="AW2" s="2084"/>
      <c r="AX2" s="2084"/>
      <c r="AY2" s="2084"/>
      <c r="AZ2" s="2084"/>
      <c r="BA2" s="2084"/>
      <c r="BB2" s="2085"/>
      <c r="BC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0"/>
      <c r="B3" s="1380"/>
      <c r="C3" s="1380"/>
      <c r="D3" s="1380"/>
      <c r="E3" s="2090"/>
      <c r="F3" s="2089">
        <v>1</v>
      </c>
      <c r="G3" s="1380"/>
      <c r="H3" s="1380"/>
      <c r="I3" s="1380"/>
      <c r="J3" s="1380"/>
      <c r="K3" s="1380"/>
      <c r="L3" s="1381"/>
      <c r="M3" s="1382"/>
      <c r="N3" s="1382"/>
      <c r="O3" s="1382"/>
      <c r="P3" s="1427"/>
      <c r="Q3" s="1428"/>
      <c r="R3" s="341"/>
      <c r="S3" s="1510">
        <f>INDEX(PT_DIFFERENTIATION_NUM_TER,MATCH(B3,PT_DIFFERENTIATION_TER_ID,0))</f>
      </c>
      <c r="T3" s="290" t="s">
        <v>404</v>
      </c>
      <c r="U3" s="280"/>
      <c r="V3" s="2084"/>
      <c r="W3" s="2084"/>
      <c r="X3" s="2084"/>
      <c r="Y3" s="2084"/>
      <c r="Z3" s="2084"/>
      <c r="AA3" s="2084"/>
      <c r="AB3" s="2084"/>
      <c r="AC3" s="2085"/>
      <c r="AD3" s="2083">
        <f>INDEX(PT_DIFFERENTIATION_TER,MATCH(B3,PT_DIFFERENTIATION_TER_ID,0))</f>
      </c>
      <c r="AE3" s="2084"/>
      <c r="AF3" s="2084"/>
      <c r="AG3" s="2084"/>
      <c r="AH3" s="2084"/>
      <c r="AI3" s="2084"/>
      <c r="AJ3" s="2084"/>
      <c r="AK3" s="2084"/>
      <c r="AL3" s="2084"/>
      <c r="AM3" s="2084"/>
      <c r="AN3" s="2084"/>
      <c r="AO3" s="2084"/>
      <c r="AP3" s="2084"/>
      <c r="AQ3" s="2084"/>
      <c r="AR3" s="2084"/>
      <c r="AS3" s="2084"/>
      <c r="AT3" s="2084"/>
      <c r="AU3" s="2084"/>
      <c r="AV3" s="2084"/>
      <c r="AW3" s="2084"/>
      <c r="AX3" s="2084"/>
      <c r="AY3" s="2084"/>
      <c r="AZ3" s="2084"/>
      <c r="BA3" s="2084"/>
      <c r="BB3" s="2085"/>
      <c r="BC3" s="1273" t="s">
        <v>405</v>
      </c>
      <c r="BE3" s="496"/>
      <c r="BF3" s="496" t="str">
        <f>IF(T3="","",T3)</f>
        <v>Территория действия тарифа</v>
      </c>
      <c r="BG3" s="496"/>
      <c r="BH3" s="496"/>
    </row>
    <row customHeight="1" ht="33.75" hidden="1">
      <c r="A4" s="1380"/>
      <c r="B4" s="1380"/>
      <c r="C4" s="1380"/>
      <c r="D4" s="1380"/>
      <c r="E4" s="2090"/>
      <c r="F4" s="2090"/>
      <c r="G4" s="2089">
        <v>1</v>
      </c>
      <c r="H4" s="1380"/>
      <c r="I4" s="1380"/>
      <c r="J4" s="1380"/>
      <c r="K4" s="1380"/>
      <c r="L4" s="1381"/>
      <c r="M4" s="1382"/>
      <c r="N4" s="1382"/>
      <c r="O4" s="1382"/>
      <c r="P4" s="1429"/>
      <c r="Q4" s="1428"/>
      <c r="R4" s="341"/>
      <c r="S4" s="1510">
        <f>INDEX(PT_DIFFERENTIATION_NUM_CS,MATCH(C4,PT_DIFFERENTIATION_CS_ID,0))</f>
      </c>
      <c r="T4" s="291" t="s">
        <v>521</v>
      </c>
      <c r="U4" s="280"/>
      <c r="V4" s="2084"/>
      <c r="W4" s="2084"/>
      <c r="X4" s="2084"/>
      <c r="Y4" s="2084"/>
      <c r="Z4" s="2084"/>
      <c r="AA4" s="2084"/>
      <c r="AB4" s="2084"/>
      <c r="AC4" s="2085"/>
      <c r="AD4" s="2083">
        <f>INDEX(PT_DIFFERENTIATION_CS,MATCH(C4,PT_DIFFERENTIATION_CS_ID,0))</f>
      </c>
      <c r="AE4" s="2084"/>
      <c r="AF4" s="2084"/>
      <c r="AG4" s="2084"/>
      <c r="AH4" s="2084"/>
      <c r="AI4" s="2084"/>
      <c r="AJ4" s="2084"/>
      <c r="AK4" s="2084"/>
      <c r="AL4" s="2084"/>
      <c r="AM4" s="2084"/>
      <c r="AN4" s="2084"/>
      <c r="AO4" s="2084"/>
      <c r="AP4" s="2084"/>
      <c r="AQ4" s="2084"/>
      <c r="AR4" s="2084"/>
      <c r="AS4" s="2084"/>
      <c r="AT4" s="2084"/>
      <c r="AU4" s="2084"/>
      <c r="AV4" s="2084"/>
      <c r="AW4" s="2084"/>
      <c r="AX4" s="2084"/>
      <c r="AY4" s="2084"/>
      <c r="AZ4" s="2084"/>
      <c r="BA4" s="2084"/>
      <c r="BB4" s="2085"/>
      <c r="BC4" s="1273" t="s">
        <v>522</v>
      </c>
      <c r="BE4" s="496"/>
      <c r="BF4" s="496" t="str">
        <f>IF(T4="","",T4)</f>
        <v>Наименование централизованной системы водоотведения</v>
      </c>
      <c r="BG4" s="496"/>
      <c r="BH4" s="496"/>
    </row>
    <row s="1667" customFormat="1" customHeight="1" ht="14.25" hidden="1">
      <c r="A5" s="1360"/>
      <c r="B5" s="1360"/>
      <c r="C5" s="1360"/>
      <c r="D5" s="1360"/>
      <c r="E5" s="2090"/>
      <c r="F5" s="2090"/>
      <c r="G5" s="2090"/>
      <c r="H5" s="2089">
        <v>1</v>
      </c>
      <c r="I5" s="1360"/>
      <c r="J5" s="1360"/>
      <c r="K5" s="1360"/>
      <c r="L5" s="1363"/>
      <c r="M5" s="1332"/>
      <c r="N5" s="1332"/>
      <c r="O5" s="1332"/>
      <c r="P5" s="1514"/>
      <c r="Q5" s="1515"/>
      <c r="R5" s="345"/>
      <c r="S5" s="1037"/>
      <c r="T5" s="1516"/>
      <c r="U5" s="1401"/>
      <c r="V5" s="2130"/>
      <c r="W5" s="2130"/>
      <c r="X5" s="2130"/>
      <c r="Y5" s="2130"/>
      <c r="Z5" s="2130"/>
      <c r="AA5" s="2130"/>
      <c r="AB5" s="2130"/>
      <c r="AC5" s="2131"/>
      <c r="AD5" s="2129"/>
      <c r="AE5" s="2130"/>
      <c r="AF5" s="2130"/>
      <c r="AG5" s="2130"/>
      <c r="AH5" s="2130"/>
      <c r="AI5" s="2130"/>
      <c r="AJ5" s="2130"/>
      <c r="AK5" s="2130"/>
      <c r="AL5" s="2130"/>
      <c r="AM5" s="2130"/>
      <c r="AN5" s="2130"/>
      <c r="AO5" s="2130"/>
      <c r="AP5" s="2130"/>
      <c r="AQ5" s="2130"/>
      <c r="AR5" s="2130"/>
      <c r="AS5" s="2130"/>
      <c r="AT5" s="2130"/>
      <c r="AU5" s="2130"/>
      <c r="AV5" s="2130"/>
      <c r="AW5" s="2130"/>
      <c r="AX5" s="2130"/>
      <c r="AY5" s="2130"/>
      <c r="AZ5" s="2130"/>
      <c r="BA5" s="2130"/>
      <c r="BB5" s="2131"/>
      <c r="BC5" s="1402" t="s">
        <v>409</v>
      </c>
      <c r="BE5" s="496"/>
      <c r="BF5" s="496" t="str">
        <f>IF(T5="","",T5)</f>
        <v/>
      </c>
      <c r="BG5" s="496"/>
      <c r="BH5" s="496"/>
    </row>
    <row s="1667" customFormat="1" customHeight="1" ht="14.25" hidden="1">
      <c r="A6" s="1360"/>
      <c r="B6" s="1360"/>
      <c r="C6" s="1360"/>
      <c r="D6" s="1360"/>
      <c r="E6" s="2090"/>
      <c r="F6" s="2090"/>
      <c r="G6" s="2090"/>
      <c r="H6" s="2090"/>
      <c r="I6" s="2091" t="str">
        <f>S5&amp;".1"</f>
        <v>.1</v>
      </c>
      <c r="J6" s="1360"/>
      <c r="K6" s="1360"/>
      <c r="L6" s="1363" t="s">
        <v>410</v>
      </c>
      <c r="M6" s="506"/>
      <c r="N6" s="506"/>
      <c r="O6" s="506"/>
      <c r="P6" s="2093">
        <v>1</v>
      </c>
      <c r="Q6" s="1498"/>
      <c r="R6" s="344"/>
      <c r="S6" s="1037"/>
      <c r="T6" s="1400"/>
      <c r="U6" s="1401"/>
      <c r="V6" s="2130"/>
      <c r="W6" s="2130"/>
      <c r="X6" s="2130"/>
      <c r="Y6" s="2130"/>
      <c r="Z6" s="2130"/>
      <c r="AA6" s="2130"/>
      <c r="AB6" s="2130"/>
      <c r="AC6" s="2131"/>
      <c r="AD6" s="2129"/>
      <c r="AE6" s="2130"/>
      <c r="AF6" s="2130"/>
      <c r="AG6" s="2130"/>
      <c r="AH6" s="2130"/>
      <c r="AI6" s="2130"/>
      <c r="AJ6" s="2130"/>
      <c r="AK6" s="2130"/>
      <c r="AL6" s="2130"/>
      <c r="AM6" s="2130"/>
      <c r="AN6" s="2130"/>
      <c r="AO6" s="2130"/>
      <c r="AP6" s="2130"/>
      <c r="AQ6" s="2130"/>
      <c r="AR6" s="2130"/>
      <c r="AS6" s="2130"/>
      <c r="AT6" s="2130"/>
      <c r="AU6" s="2130"/>
      <c r="AV6" s="2130"/>
      <c r="AW6" s="2130"/>
      <c r="AX6" s="2130"/>
      <c r="AY6" s="2130"/>
      <c r="AZ6" s="2130"/>
      <c r="BA6" s="2130"/>
      <c r="BB6" s="2131"/>
      <c r="BC6" s="1402"/>
      <c r="BE6" s="496"/>
      <c r="BF6" s="496" t="str">
        <f>IF(T6="","",T6)</f>
        <v/>
      </c>
      <c r="BG6" s="496"/>
      <c r="BH6" s="496"/>
    </row>
    <row s="1667" customFormat="1" customHeight="1" ht="14.25" hidden="1">
      <c r="A7" s="1360"/>
      <c r="B7" s="1360"/>
      <c r="C7" s="1360"/>
      <c r="D7" s="1360"/>
      <c r="E7" s="2090"/>
      <c r="F7" s="2090"/>
      <c r="G7" s="2090"/>
      <c r="H7" s="2090"/>
      <c r="I7" s="2092"/>
      <c r="J7" s="2091" t="str">
        <f>S5&amp;".1"</f>
        <v>.1</v>
      </c>
      <c r="K7" s="1360"/>
      <c r="L7" s="1363"/>
      <c r="M7" s="506"/>
      <c r="N7" s="506"/>
      <c r="O7" s="506"/>
      <c r="P7" s="2093"/>
      <c r="Q7" s="2093">
        <v>1</v>
      </c>
      <c r="R7" s="345"/>
      <c r="S7" s="1037"/>
      <c r="T7" s="1416"/>
      <c r="U7" s="1401"/>
      <c r="V7" s="2130"/>
      <c r="W7" s="2130"/>
      <c r="X7" s="2130"/>
      <c r="Y7" s="2130"/>
      <c r="Z7" s="2130"/>
      <c r="AA7" s="2130"/>
      <c r="AB7" s="2130"/>
      <c r="AC7" s="2131"/>
      <c r="AD7" s="2129"/>
      <c r="AE7" s="2130"/>
      <c r="AF7" s="2130"/>
      <c r="AG7" s="2130"/>
      <c r="AH7" s="2130"/>
      <c r="AI7" s="2130"/>
      <c r="AJ7" s="2130"/>
      <c r="AK7" s="2130"/>
      <c r="AL7" s="2130"/>
      <c r="AM7" s="2130"/>
      <c r="AN7" s="2130"/>
      <c r="AO7" s="2130"/>
      <c r="AP7" s="2130"/>
      <c r="AQ7" s="2130"/>
      <c r="AR7" s="2130"/>
      <c r="AS7" s="2130"/>
      <c r="AT7" s="2130"/>
      <c r="AU7" s="2130"/>
      <c r="AV7" s="2130"/>
      <c r="AW7" s="2130"/>
      <c r="AX7" s="2130"/>
      <c r="AY7" s="2130"/>
      <c r="AZ7" s="2130"/>
      <c r="BA7" s="2130"/>
      <c r="BB7" s="2131"/>
      <c r="BC7" s="1402"/>
      <c r="BE7" s="496"/>
      <c r="BF7" s="496" t="str">
        <f>IF(T7="","",T7)</f>
        <v/>
      </c>
      <c r="BG7" s="496"/>
      <c r="BH7" s="496"/>
    </row>
    <row customHeight="1" ht="11.25" hidden="1">
      <c r="A8" s="1380"/>
      <c r="B8" s="1380"/>
      <c r="C8" s="1380"/>
      <c r="D8" s="1380"/>
      <c r="E8" s="2090"/>
      <c r="F8" s="2090"/>
      <c r="G8" s="2090"/>
      <c r="H8" s="2090"/>
      <c r="I8" s="2092"/>
      <c r="J8" s="2092"/>
      <c r="K8" s="2091">
        <f>S4&amp;".1"</f>
      </c>
      <c r="L8" s="1381"/>
      <c r="P8" s="2093"/>
      <c r="Q8" s="2093"/>
      <c r="R8" s="2169">
        <v>1</v>
      </c>
      <c r="S8" s="2166">
        <f>$K8</f>
      </c>
      <c r="T8" s="2185"/>
      <c r="U8" s="280"/>
      <c r="V8" s="746"/>
      <c r="W8" s="1272"/>
      <c r="X8" s="746"/>
      <c r="Y8" s="1272"/>
      <c r="Z8" s="1758"/>
      <c r="AA8" s="1486" t="s">
        <v>66</v>
      </c>
      <c r="AB8" s="1758"/>
      <c r="AC8" s="1486" t="s">
        <v>66</v>
      </c>
      <c r="AD8" s="2026" t="s">
        <v>66</v>
      </c>
      <c r="AE8" s="2162"/>
      <c r="AF8" s="2039">
        <v>1</v>
      </c>
      <c r="AG8" s="2184"/>
      <c r="AH8" s="1963" t="s">
        <v>66</v>
      </c>
      <c r="AI8" s="2162"/>
      <c r="AJ8" s="2039">
        <v>1</v>
      </c>
      <c r="AK8" s="2183" t="s">
        <v>24</v>
      </c>
      <c r="AL8" s="1963" t="s">
        <v>66</v>
      </c>
      <c r="AM8" s="2011"/>
      <c r="AN8" s="2039">
        <v>1</v>
      </c>
      <c r="AO8" s="2188"/>
      <c r="AP8" s="2189" t="s">
        <v>66</v>
      </c>
      <c r="AQ8" s="293"/>
      <c r="AR8" s="1503">
        <v>1</v>
      </c>
      <c r="AS8" s="1509" t="s">
        <v>24</v>
      </c>
      <c r="AT8" s="746"/>
      <c r="AU8" s="1272"/>
      <c r="AV8" s="746"/>
      <c r="AW8" s="1272"/>
      <c r="AX8" s="1758"/>
      <c r="AY8" s="1486" t="s">
        <v>66</v>
      </c>
      <c r="AZ8" s="1758"/>
      <c r="BA8" s="1486" t="s">
        <v>66</v>
      </c>
      <c r="BB8" s="1365"/>
      <c r="BC8" s="2119" t="s">
        <v>506</v>
      </c>
      <c r="BE8" s="496"/>
      <c r="BF8" s="496" t="str">
        <f>IF(T8="","",T8)</f>
        <v/>
      </c>
      <c r="BG8" s="496"/>
      <c r="BH8" s="496"/>
    </row>
    <row customHeight="1" ht="11.25" hidden="1">
      <c r="A9" s="1380"/>
      <c r="B9" s="1380"/>
      <c r="C9" s="1380"/>
      <c r="D9" s="1380"/>
      <c r="E9" s="2090"/>
      <c r="F9" s="2090"/>
      <c r="G9" s="2090"/>
      <c r="H9" s="2090"/>
      <c r="I9" s="2092"/>
      <c r="J9" s="2092"/>
      <c r="K9" s="2091"/>
      <c r="L9" s="1381"/>
      <c r="P9" s="2093"/>
      <c r="Q9" s="2093"/>
      <c r="R9" s="2169"/>
      <c r="S9" s="2167"/>
      <c r="T9" s="2186"/>
      <c r="U9" s="280"/>
      <c r="V9" s="1410"/>
      <c r="W9" s="1513"/>
      <c r="X9" s="1410"/>
      <c r="Y9" s="1513"/>
      <c r="Z9" s="1410"/>
      <c r="AA9" s="1410"/>
      <c r="AB9" s="1410"/>
      <c r="AC9" s="1410"/>
      <c r="AD9" s="2027"/>
      <c r="AE9" s="2162"/>
      <c r="AF9" s="2039"/>
      <c r="AG9" s="2184"/>
      <c r="AH9" s="1963"/>
      <c r="AI9" s="2162"/>
      <c r="AJ9" s="2039"/>
      <c r="AK9" s="2183"/>
      <c r="AL9" s="1963"/>
      <c r="AM9" s="2019"/>
      <c r="AN9" s="2039"/>
      <c r="AO9" s="2188"/>
      <c r="AP9" s="2190"/>
      <c r="AQ9" s="300"/>
      <c r="AR9" s="413"/>
      <c r="AS9" s="413" t="s">
        <v>507</v>
      </c>
      <c r="AT9" s="1410"/>
      <c r="AU9" s="1513"/>
      <c r="AV9" s="1410"/>
      <c r="AW9" s="1513"/>
      <c r="AX9" s="1410"/>
      <c r="AY9" s="1410"/>
      <c r="AZ9" s="1410"/>
      <c r="BA9" s="1410"/>
      <c r="BB9" s="1414"/>
      <c r="BC9" s="2120"/>
      <c r="BE9" s="496"/>
      <c r="BF9" s="496"/>
      <c r="BG9" s="496"/>
      <c r="BH9" s="496"/>
    </row>
    <row customHeight="1" ht="11.25" hidden="1">
      <c r="A10" s="1380"/>
      <c r="B10" s="1380"/>
      <c r="C10" s="1380"/>
      <c r="D10" s="1380"/>
      <c r="E10" s="2090"/>
      <c r="F10" s="2090"/>
      <c r="G10" s="2090"/>
      <c r="H10" s="2090"/>
      <c r="I10" s="2092"/>
      <c r="J10" s="2092"/>
      <c r="K10" s="2091"/>
      <c r="L10" s="1381"/>
      <c r="P10" s="2093"/>
      <c r="Q10" s="2093"/>
      <c r="R10" s="2169"/>
      <c r="S10" s="2167"/>
      <c r="T10" s="2186"/>
      <c r="U10" s="280"/>
      <c r="V10" s="1410"/>
      <c r="W10" s="1513"/>
      <c r="X10" s="1410"/>
      <c r="Y10" s="1513"/>
      <c r="Z10" s="1410"/>
      <c r="AA10" s="1410"/>
      <c r="AB10" s="1410"/>
      <c r="AC10" s="1410"/>
      <c r="AD10" s="2027"/>
      <c r="AE10" s="2162"/>
      <c r="AF10" s="2039"/>
      <c r="AG10" s="2184"/>
      <c r="AH10" s="1963"/>
      <c r="AI10" s="2162"/>
      <c r="AJ10" s="2039"/>
      <c r="AK10" s="2183"/>
      <c r="AL10" s="1963"/>
      <c r="AM10" s="300"/>
      <c r="AN10" s="1517"/>
      <c r="AO10" s="1517" t="s">
        <v>527</v>
      </c>
      <c r="AP10" s="413"/>
      <c r="AQ10" s="413"/>
      <c r="AR10" s="413"/>
      <c r="AS10" s="1410"/>
      <c r="AT10" s="1410"/>
      <c r="AU10" s="1513"/>
      <c r="AV10" s="1410"/>
      <c r="AW10" s="1513"/>
      <c r="AX10" s="1410"/>
      <c r="AY10" s="1410"/>
      <c r="AZ10" s="1410"/>
      <c r="BA10" s="1410"/>
      <c r="BB10" s="1414"/>
      <c r="BC10" s="2120"/>
      <c r="BE10" s="496"/>
      <c r="BF10" s="496"/>
      <c r="BG10" s="496"/>
      <c r="BH10" s="496"/>
    </row>
    <row customHeight="1" ht="11.25" hidden="1">
      <c r="A11" s="1380"/>
      <c r="B11" s="1380"/>
      <c r="C11" s="1380"/>
      <c r="D11" s="1380"/>
      <c r="E11" s="2090"/>
      <c r="F11" s="2090"/>
      <c r="G11" s="2090"/>
      <c r="H11" s="2090"/>
      <c r="I11" s="2092"/>
      <c r="J11" s="2092"/>
      <c r="K11" s="2091"/>
      <c r="L11" s="1381"/>
      <c r="P11" s="2093"/>
      <c r="Q11" s="2093"/>
      <c r="R11" s="2169"/>
      <c r="S11" s="2167"/>
      <c r="T11" s="2186"/>
      <c r="U11" s="280"/>
      <c r="V11" s="1410"/>
      <c r="W11" s="1513"/>
      <c r="X11" s="1410"/>
      <c r="Y11" s="1513"/>
      <c r="Z11" s="1410"/>
      <c r="AA11" s="1410"/>
      <c r="AB11" s="1410"/>
      <c r="AC11" s="1410"/>
      <c r="AD11" s="2027"/>
      <c r="AE11" s="2162"/>
      <c r="AF11" s="2039"/>
      <c r="AG11" s="2184"/>
      <c r="AH11" s="1963"/>
      <c r="AI11" s="274"/>
      <c r="AJ11" s="412"/>
      <c r="AK11" s="295" t="s">
        <v>528</v>
      </c>
      <c r="AL11" s="1410"/>
      <c r="AM11" s="1410"/>
      <c r="AN11" s="1410"/>
      <c r="AO11" s="1410"/>
      <c r="AP11" s="1410"/>
      <c r="AQ11" s="1410"/>
      <c r="AR11" s="1410"/>
      <c r="AS11" s="1410"/>
      <c r="AT11" s="1410"/>
      <c r="AU11" s="1513"/>
      <c r="AV11" s="1410"/>
      <c r="AW11" s="1513"/>
      <c r="AX11" s="1410"/>
      <c r="AY11" s="1410"/>
      <c r="AZ11" s="1410"/>
      <c r="BA11" s="1410"/>
      <c r="BB11" s="1414"/>
      <c r="BC11" s="2120"/>
      <c r="BE11" s="496"/>
      <c r="BF11" s="496"/>
      <c r="BG11" s="496"/>
      <c r="BH11" s="496"/>
    </row>
    <row customHeight="1" ht="11.25" hidden="1">
      <c r="A12" s="1380"/>
      <c r="B12" s="1380"/>
      <c r="C12" s="1380"/>
      <c r="D12" s="1380"/>
      <c r="E12" s="2090"/>
      <c r="F12" s="2090"/>
      <c r="G12" s="2090"/>
      <c r="H12" s="2090"/>
      <c r="I12" s="2092"/>
      <c r="J12" s="2092"/>
      <c r="K12" s="2091"/>
      <c r="L12" s="1381"/>
      <c r="P12" s="2093"/>
      <c r="Q12" s="2093"/>
      <c r="R12" s="2169"/>
      <c r="S12" s="2168"/>
      <c r="T12" s="2187"/>
      <c r="U12" s="280"/>
      <c r="V12" s="1410"/>
      <c r="W12" s="1411" t="str">
        <f>Z8&amp;"-"&amp;AB8</f>
        <v>-</v>
      </c>
      <c r="X12" s="1410"/>
      <c r="Y12" s="1411" t="str">
        <f>AB8&amp;"-"&amp;AD8</f>
        <v>-да</v>
      </c>
      <c r="Z12" s="1410"/>
      <c r="AA12" s="1410"/>
      <c r="AB12" s="1410"/>
      <c r="AC12" s="1410"/>
      <c r="AD12" s="1968"/>
      <c r="AE12" s="294"/>
      <c r="AF12" s="296"/>
      <c r="AG12" s="413" t="s">
        <v>510</v>
      </c>
      <c r="AH12" s="1410"/>
      <c r="AI12" s="1410"/>
      <c r="AJ12" s="1410"/>
      <c r="AK12" s="1410"/>
      <c r="AL12" s="1410"/>
      <c r="AM12" s="1410"/>
      <c r="AN12" s="1410"/>
      <c r="AO12" s="1410"/>
      <c r="AP12" s="1410"/>
      <c r="AQ12" s="1410"/>
      <c r="AR12" s="1410"/>
      <c r="AS12" s="1410"/>
      <c r="AT12" s="1410"/>
      <c r="AU12" s="1411" t="str">
        <f>AX8&amp;"-"&amp;AZ8</f>
        <v>-</v>
      </c>
      <c r="AV12" s="1410"/>
      <c r="AW12" s="1411" t="str">
        <f>AZ8&amp;"-"&amp;BB8</f>
        <v>-</v>
      </c>
      <c r="AX12" s="1410"/>
      <c r="AY12" s="1410"/>
      <c r="AZ12" s="1410"/>
      <c r="BA12" s="1410"/>
      <c r="BB12" s="1413" t="str">
        <f>BE8&amp;"-"&amp;BG8</f>
        <v>-</v>
      </c>
      <c r="BC12" s="2120"/>
      <c r="BE12" s="496"/>
      <c r="BF12" s="496" t="str">
        <f>IF(T12="","",T12)</f>
        <v/>
      </c>
      <c r="BG12" s="496"/>
      <c r="BH12" s="496"/>
    </row>
    <row customHeight="1" ht="11.25" hidden="1">
      <c r="A13" s="1380"/>
      <c r="B13" s="1380"/>
      <c r="C13" s="1380"/>
      <c r="D13" s="1380"/>
      <c r="E13" s="2090"/>
      <c r="F13" s="2090"/>
      <c r="G13" s="2090"/>
      <c r="H13" s="2090"/>
      <c r="I13" s="2092"/>
      <c r="J13" s="2091"/>
      <c r="K13" s="1380"/>
      <c r="L13" s="1381"/>
      <c r="P13" s="2093"/>
      <c r="Q13" s="2093"/>
      <c r="R13" s="344"/>
      <c r="S13" s="1295"/>
      <c r="T13" s="268" t="s">
        <v>474</v>
      </c>
      <c r="U13" s="359"/>
      <c r="V13" s="359"/>
      <c r="W13" s="359"/>
      <c r="X13" s="359"/>
      <c r="Y13" s="359"/>
      <c r="Z13" s="359"/>
      <c r="AA13" s="359"/>
      <c r="AB13" s="359"/>
      <c r="AC13" s="359"/>
      <c r="AD13" s="1522"/>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1"/>
      <c r="BE13" s="496"/>
      <c r="BF13" s="496" t="str">
        <f>IF(T13="","",T13)</f>
        <v>Добавить строку</v>
      </c>
      <c r="BG13" s="496"/>
      <c r="BH13" s="496"/>
    </row>
    <row s="1667" customFormat="1" customHeight="1" ht="14.25" hidden="1">
      <c r="A14" s="1360"/>
      <c r="B14" s="1360"/>
      <c r="C14" s="1360"/>
      <c r="D14" s="1360"/>
      <c r="E14" s="2090"/>
      <c r="F14" s="2090"/>
      <c r="G14" s="2090"/>
      <c r="H14" s="2090"/>
      <c r="I14" s="2091"/>
      <c r="J14" s="1360"/>
      <c r="K14" s="1360"/>
      <c r="L14" s="1363"/>
      <c r="M14" s="506"/>
      <c r="N14" s="506"/>
      <c r="O14" s="506"/>
      <c r="P14" s="2093"/>
      <c r="Q14" s="1498"/>
      <c r="R14" s="344"/>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5"/>
      <c r="AV14" s="1405"/>
      <c r="AW14" s="1405"/>
      <c r="AX14" s="1405"/>
      <c r="AY14" s="1405"/>
      <c r="AZ14" s="1405"/>
      <c r="BA14" s="1405"/>
      <c r="BB14" s="1405"/>
      <c r="BC14" s="1406"/>
      <c r="BE14" s="496"/>
      <c r="BF14" s="496" t="str">
        <f>IF(T14="","",T14)</f>
        <v/>
      </c>
      <c r="BG14" s="496"/>
      <c r="BH14" s="496"/>
    </row>
    <row s="1667" customFormat="1" customHeight="1" ht="14.25" hidden="1">
      <c r="A15" s="1360"/>
      <c r="B15" s="1360"/>
      <c r="C15" s="1360"/>
      <c r="D15" s="1360"/>
      <c r="E15" s="2090"/>
      <c r="F15" s="2090"/>
      <c r="G15" s="2090"/>
      <c r="H15" s="2089"/>
      <c r="I15" s="1360"/>
      <c r="J15" s="1360"/>
      <c r="K15" s="1360"/>
      <c r="L15" s="1363"/>
      <c r="M15" s="1332"/>
      <c r="N15" s="1332"/>
      <c r="O15" s="514"/>
      <c r="P15" s="376"/>
      <c r="Q15" s="1361"/>
      <c r="R15" s="1418"/>
      <c r="S15" s="1403"/>
      <c r="T15" s="1404"/>
      <c r="U15" s="1405"/>
      <c r="V15" s="1405"/>
      <c r="W15" s="1405"/>
      <c r="X15" s="1405"/>
      <c r="Y15" s="1405"/>
      <c r="Z15" s="1405"/>
      <c r="AA15" s="1405"/>
      <c r="AB15" s="1405"/>
      <c r="AC15" s="1405"/>
      <c r="AD15" s="1405"/>
      <c r="AE15" s="1405"/>
      <c r="AF15" s="1405"/>
      <c r="AG15" s="1405"/>
      <c r="AH15" s="1405"/>
      <c r="AI15" s="1405"/>
      <c r="AJ15" s="1405"/>
      <c r="AK15" s="1405"/>
      <c r="AL15" s="1405"/>
      <c r="AM15" s="1405"/>
      <c r="AN15" s="1405"/>
      <c r="AO15" s="1405"/>
      <c r="AP15" s="1405"/>
      <c r="AQ15" s="1405"/>
      <c r="AR15" s="1405"/>
      <c r="AS15" s="1405"/>
      <c r="AT15" s="1405"/>
      <c r="AU15" s="1405"/>
      <c r="AV15" s="1405"/>
      <c r="AW15" s="1405"/>
      <c r="AX15" s="1405"/>
      <c r="AY15" s="1405"/>
      <c r="AZ15" s="1405"/>
      <c r="BA15" s="1405"/>
      <c r="BB15" s="1405"/>
      <c r="BC15" s="1406"/>
      <c r="BE15" s="496"/>
      <c r="BF15" s="496" t="str">
        <f>IF(T15="","",T15)</f>
        <v/>
      </c>
      <c r="BG15" s="496"/>
      <c r="BH15" s="496"/>
    </row>
    <row s="1667" customFormat="1" customHeight="1" ht="14.25" hidden="1">
      <c r="A16" s="1360"/>
      <c r="B16" s="1360"/>
      <c r="C16" s="1360"/>
      <c r="D16" s="1331"/>
      <c r="E16" s="2090"/>
      <c r="F16" s="2090"/>
      <c r="G16" s="2089"/>
      <c r="H16" s="1331"/>
      <c r="I16" s="1331"/>
      <c r="J16" s="1331"/>
      <c r="K16" s="1331"/>
      <c r="L16" s="1511"/>
      <c r="M16" s="1332"/>
      <c r="N16" s="1332"/>
      <c r="P16" s="1333"/>
      <c r="Q16" s="1334"/>
      <c r="R16" s="1333"/>
      <c r="S16" s="1339"/>
      <c r="T16" s="1342"/>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V16" s="1341"/>
      <c r="AW16" s="1341"/>
      <c r="AX16" s="1341"/>
      <c r="AY16" s="1341"/>
      <c r="AZ16" s="1341"/>
      <c r="BA16" s="1341"/>
      <c r="BB16" s="1341"/>
      <c r="BC16" s="1341"/>
      <c r="BE16" s="783"/>
      <c r="BF16" s="783" t="str">
        <f>IF(T16="","",T16)</f>
        <v/>
      </c>
      <c r="BG16" s="783"/>
      <c r="BH16" s="783"/>
    </row>
    <row s="1667" customFormat="1" customHeight="1" ht="14.25" hidden="1">
      <c r="A17" s="1360"/>
      <c r="B17" s="1360"/>
      <c r="C17" s="1331"/>
      <c r="D17" s="1331"/>
      <c r="E17" s="2090"/>
      <c r="F17" s="2089"/>
      <c r="G17" s="1331"/>
      <c r="H17" s="1331"/>
      <c r="I17" s="1331"/>
      <c r="J17" s="1331"/>
      <c r="K17" s="1331"/>
      <c r="L17" s="1511"/>
      <c r="M17" s="1338"/>
      <c r="N17" s="1338"/>
      <c r="P17" s="1333"/>
      <c r="Q17" s="1334"/>
      <c r="R17" s="1333"/>
      <c r="S17" s="1339"/>
      <c r="T17" s="1342" t="s">
        <v>167</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V17" s="1341"/>
      <c r="AW17" s="1341"/>
      <c r="AX17" s="1341"/>
      <c r="AY17" s="1341"/>
      <c r="AZ17" s="1341"/>
      <c r="BA17" s="1341"/>
      <c r="BB17" s="1341"/>
      <c r="BC17" s="1341"/>
      <c r="BE17" s="783"/>
      <c r="BF17" s="783" t="str">
        <f>IF(T17="","",T17)</f>
        <v>Добавить централизованную систему для дифференциации</v>
      </c>
      <c r="BG17" s="783"/>
      <c r="BH17" s="783"/>
    </row>
    <row s="1667" customFormat="1" customHeight="1" ht="14.25" hidden="1">
      <c r="A18" s="1360"/>
      <c r="B18" s="1360"/>
      <c r="C18" s="1360"/>
      <c r="D18" s="1360"/>
      <c r="E18" s="2089"/>
      <c r="F18" s="1360"/>
      <c r="G18" s="1360"/>
      <c r="H18" s="1360"/>
      <c r="I18" s="1360"/>
      <c r="J18" s="1360"/>
      <c r="K18" s="1360"/>
      <c r="L18" s="1363"/>
      <c r="M18" s="1338"/>
      <c r="N18" s="1338"/>
      <c r="O18" s="514"/>
      <c r="P18" s="376"/>
      <c r="Q18" s="1361"/>
      <c r="R18" s="376"/>
      <c r="S18" s="1339"/>
      <c r="T18" s="1342" t="s">
        <v>168</v>
      </c>
      <c r="U18" s="1341"/>
      <c r="V18" s="1341"/>
      <c r="W18" s="1341"/>
      <c r="X18" s="1341"/>
      <c r="Y18" s="1341"/>
      <c r="Z18" s="1341"/>
      <c r="AA18" s="1341"/>
      <c r="AB18" s="1341"/>
      <c r="AC18" s="1341"/>
      <c r="AD18" s="1341"/>
      <c r="AE18" s="1341"/>
      <c r="AF18" s="1341"/>
      <c r="AG18" s="1341"/>
      <c r="AH18" s="1341"/>
      <c r="AI18" s="1341"/>
      <c r="AJ18" s="1341"/>
      <c r="AK18" s="1341"/>
      <c r="AL18" s="1341"/>
      <c r="AM18" s="1341"/>
      <c r="AN18" s="1341"/>
      <c r="AO18" s="1341"/>
      <c r="AP18" s="1341"/>
      <c r="AQ18" s="1341"/>
      <c r="AR18" s="1341"/>
      <c r="AS18" s="1341"/>
      <c r="AT18" s="1341"/>
      <c r="AU18" s="1341"/>
      <c r="AV18" s="1341"/>
      <c r="AW18" s="1341"/>
      <c r="AX18" s="1341"/>
      <c r="AY18" s="1341"/>
      <c r="AZ18" s="1341"/>
      <c r="BA18" s="1341"/>
      <c r="BB18" s="1341"/>
      <c r="BC18" s="1341"/>
      <c r="BE18" s="496"/>
      <c r="BF18" s="496" t="str">
        <f>IF(T18="","",T18)</f>
        <v>Добавить территорию для дифференциации</v>
      </c>
      <c r="BG18" s="496"/>
      <c r="BH18" s="496"/>
    </row>
    <row customHeight="1" ht="14.25" hidden="1">
      <c r="AC19" s="315"/>
      <c r="BA19" s="315"/>
    </row>
    <row customHeight="1" ht="14.25" hidden="1">
      <c r="AD20" s="1341" t="s">
        <v>56</v>
      </c>
      <c r="AE20" s="1518"/>
      <c r="AF20" s="544">
        <v>1</v>
      </c>
      <c r="AG20" s="1519"/>
      <c r="AH20" s="1341" t="s">
        <v>56</v>
      </c>
      <c r="AI20" s="1518"/>
      <c r="AJ20" s="544">
        <v>1</v>
      </c>
      <c r="AK20" s="1519"/>
      <c r="AL20" s="1341" t="s">
        <v>56</v>
      </c>
      <c r="AM20" s="1520"/>
      <c r="AN20" s="544">
        <v>1</v>
      </c>
      <c r="AO20" s="1521"/>
      <c r="AP20" s="1341" t="s">
        <v>56</v>
      </c>
      <c r="AQ20" s="1520"/>
      <c r="AR20" s="544">
        <v>1</v>
      </c>
      <c r="AS20" s="1521"/>
      <c r="AT20" s="312"/>
      <c r="AU20" s="381"/>
      <c r="AV20" s="312"/>
      <c r="AW20" s="381"/>
      <c r="AX20" s="1760"/>
      <c r="AY20" s="1502" t="s">
        <v>66</v>
      </c>
      <c r="AZ20" s="1760"/>
      <c r="BA20" s="1502" t="s">
        <v>66</v>
      </c>
    </row>
    <row customHeight="1" ht="14.25" hidden="1">
      <c r="BD21" s="492"/>
      <c r="BE21" s="492"/>
      <c r="BF21" s="492"/>
      <c r="BG21" s="492"/>
      <c r="BH21" s="492"/>
    </row>
    <row customHeight="1" ht="14.25" hidden="1">
      <c r="O22" s="1384" t="s">
        <v>421</v>
      </c>
      <c r="Z22" s="1362"/>
      <c r="AB22" s="1362"/>
      <c r="AC22" s="315"/>
      <c r="AX22" s="1362"/>
      <c r="AZ22" s="1362"/>
      <c r="BA22" s="315"/>
      <c r="BD22" s="492"/>
      <c r="BE22" s="492"/>
      <c r="BF22" s="492"/>
      <c r="BG22" s="492"/>
      <c r="BH22" s="492"/>
    </row>
    <row customHeight="1" ht="14.25" hidden="1">
      <c r="AC23" s="315"/>
      <c r="BA23" s="315"/>
      <c r="BD23" s="492"/>
      <c r="BE23" s="492"/>
      <c r="BF23" s="492"/>
      <c r="BG23" s="492"/>
      <c r="BH23" s="492"/>
    </row>
    <row s="1526" customFormat="1" customHeight="1" ht="14.25" hidden="1">
      <c r="M24" s="1525"/>
      <c r="N24" s="1525"/>
      <c r="O24" s="1526" t="s">
        <v>422</v>
      </c>
      <c r="P24" s="1525"/>
      <c r="Q24" s="1527"/>
      <c r="R24" s="1527"/>
      <c r="AA24" s="1524" t="s">
        <v>424</v>
      </c>
      <c r="AC24" s="1524" t="s">
        <v>425</v>
      </c>
      <c r="AD24" s="1524" t="s">
        <v>475</v>
      </c>
      <c r="AH24" s="1524" t="s">
        <v>475</v>
      </c>
      <c r="AK24" s="1524" t="s">
        <v>511</v>
      </c>
      <c r="AL24" s="1524" t="s">
        <v>475</v>
      </c>
      <c r="AP24" s="1524" t="s">
        <v>475</v>
      </c>
      <c r="AY24" s="1524" t="s">
        <v>424</v>
      </c>
      <c r="BA24" s="1524" t="s">
        <v>425</v>
      </c>
      <c r="BD24" s="1528"/>
      <c r="BE24" s="1528"/>
      <c r="BF24" s="1528"/>
      <c r="BG24" s="1528"/>
      <c r="BH24" s="1528"/>
    </row>
    <row customHeight="1" ht="14.25" hidden="1">
      <c r="O25" s="1381"/>
      <c r="BD25" s="492"/>
      <c r="BE25" s="492"/>
      <c r="BF25" s="492"/>
      <c r="BG25" s="492"/>
      <c r="BH25" s="492"/>
    </row>
    <row customHeight="1" ht="14.25" hidden="1">
      <c r="O26" s="1381"/>
      <c r="BD26" s="492"/>
      <c r="BE26" s="492"/>
      <c r="BF26" s="492"/>
      <c r="BG26" s="492"/>
      <c r="BH26" s="492"/>
    </row>
    <row customHeight="1" ht="14.25">
      <c r="Q27" s="272"/>
      <c r="R27" s="368"/>
      <c r="S27" s="1292"/>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2"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122"/>
      <c r="U28" s="2122"/>
      <c r="V28" s="2122"/>
      <c r="W28" s="2122"/>
      <c r="X28" s="2122"/>
      <c r="Y28" s="2122"/>
      <c r="Z28" s="2122"/>
      <c r="AA28" s="2122"/>
      <c r="AB28" s="2122"/>
      <c r="AC28" s="2122"/>
      <c r="AD28" s="2122"/>
      <c r="AE28" s="2122"/>
      <c r="AF28" s="2122"/>
      <c r="AG28" s="2122"/>
      <c r="AH28" s="2122"/>
      <c r="AI28" s="2122"/>
      <c r="AJ28" s="2122"/>
      <c r="AK28" s="2122"/>
      <c r="AL28" s="2122"/>
      <c r="AM28" s="2122"/>
      <c r="AN28" s="2122"/>
      <c r="AO28" s="2122"/>
      <c r="AP28" s="2122"/>
      <c r="AQ28" s="2122"/>
      <c r="AR28" s="2122"/>
      <c r="AS28" s="2122"/>
      <c r="AT28" s="2122"/>
      <c r="AU28" s="2122"/>
      <c r="AV28" s="2122"/>
      <c r="AW28" s="2122"/>
      <c r="AX28" s="2122"/>
      <c r="AY28" s="2122"/>
      <c r="AZ28" s="2122"/>
      <c r="BA28" s="1248"/>
    </row>
    <row customHeight="1" ht="14.25">
      <c r="Q29" s="272"/>
      <c r="R29" s="368"/>
      <c r="S29" s="2123" t="str">
        <f>IF(org=0,"Не определено",org)</f>
        <v>ООО "ПРОМ ИМПУЛЬС"</v>
      </c>
      <c r="T29" s="2123"/>
      <c r="U29" s="2123"/>
      <c r="V29" s="2123"/>
      <c r="W29" s="2123"/>
      <c r="X29" s="2123"/>
      <c r="Y29" s="2123"/>
      <c r="Z29" s="2123"/>
      <c r="AA29" s="2123"/>
      <c r="AB29" s="2123"/>
      <c r="AC29" s="2123"/>
      <c r="AD29" s="2123"/>
      <c r="AE29" s="2123"/>
      <c r="AF29" s="2123"/>
      <c r="AG29" s="2123"/>
      <c r="AH29" s="2123"/>
      <c r="AI29" s="2123"/>
      <c r="AJ29" s="2123"/>
      <c r="AK29" s="2123"/>
      <c r="AL29" s="2123"/>
      <c r="AM29" s="2123"/>
      <c r="AN29" s="2123"/>
      <c r="AO29" s="2123"/>
      <c r="AP29" s="2123"/>
      <c r="AQ29" s="2123"/>
      <c r="AR29" s="2123"/>
      <c r="AS29" s="2123"/>
      <c r="AT29" s="2123"/>
      <c r="AU29" s="2123"/>
      <c r="AV29" s="2123"/>
      <c r="AW29" s="2123"/>
      <c r="AX29" s="2123"/>
      <c r="AY29" s="2123"/>
      <c r="AZ29" s="2123"/>
      <c r="BA29" s="1248"/>
    </row>
    <row customHeight="1" ht="14.25">
      <c r="Q30" s="272"/>
      <c r="R30" s="368"/>
      <c r="S30" s="1292"/>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7" customFormat="1" customHeight="1" ht="25.5">
      <c r="A31" s="1385"/>
      <c r="B31" s="1385"/>
      <c r="C31" s="1385"/>
      <c r="D31" s="1385"/>
      <c r="E31" s="1385"/>
      <c r="F31" s="1385"/>
      <c r="G31" s="1385"/>
      <c r="H31" s="1385"/>
      <c r="I31" s="1385"/>
      <c r="J31" s="1385"/>
      <c r="K31" s="1385"/>
      <c r="L31" s="1386"/>
      <c r="M31" s="1385"/>
      <c r="N31" s="1385"/>
      <c r="O31" s="1385"/>
      <c r="P31" s="1385"/>
      <c r="Q31" s="1385"/>
      <c r="S31" s="2080" t="s">
        <v>38</v>
      </c>
      <c r="T31" s="2080"/>
      <c r="U31" s="1389"/>
      <c r="V31" s="2082" t="str">
        <f>IF(TITLE_NAME_OR_PR_CHANGE="",IF(TITLE_NAME_OR_PR="","",TITLE_NAME_OR_PR),TITLE_NAME_OR_PR_CHANGE)</f>
        <v>Комитет по тарифам Санкт-Петербурга</v>
      </c>
      <c r="W31" s="2082"/>
      <c r="X31" s="2082"/>
      <c r="Y31" s="2082"/>
      <c r="Z31" s="2082"/>
      <c r="AA31" s="2082"/>
      <c r="AB31" s="2082"/>
      <c r="AC31" s="314"/>
      <c r="AD31" s="2082" t="str">
        <f>IF(TITLE_NAME_OR_PR_CHANGE="",IF(TITLE_NAME_OR_PR="","",TITLE_NAME_OR_PR),TITLE_NAME_OR_PR_CHANGE)</f>
        <v>Комитет по тарифам Санкт-Петербурга</v>
      </c>
      <c r="AE31" s="2082"/>
      <c r="AF31" s="2082"/>
      <c r="AG31" s="2082"/>
      <c r="AH31" s="2082"/>
      <c r="AI31" s="2082"/>
      <c r="AJ31" s="2082"/>
      <c r="AK31" s="2082"/>
      <c r="AL31" s="2082"/>
      <c r="AM31" s="2082"/>
      <c r="AN31" s="2082"/>
      <c r="AO31" s="2082"/>
      <c r="AP31" s="2082"/>
      <c r="AQ31" s="2082"/>
      <c r="AR31" s="2082"/>
      <c r="AS31" s="2082"/>
      <c r="AT31" s="2082"/>
      <c r="AU31" s="2082"/>
      <c r="AV31" s="2082"/>
      <c r="AW31" s="2082"/>
      <c r="AX31" s="2082"/>
      <c r="AY31" s="2082"/>
      <c r="AZ31" s="2082"/>
      <c r="BA31" s="314"/>
      <c r="BB31" s="314"/>
      <c r="BC31" s="261"/>
      <c r="BD31" s="360"/>
      <c r="BE31" s="360"/>
      <c r="BF31" s="360"/>
      <c r="BG31" s="360"/>
      <c r="BH31" s="360"/>
    </row>
    <row s="1877" customFormat="1" customHeight="1" ht="18.75">
      <c r="A32" s="1385"/>
      <c r="B32" s="1385"/>
      <c r="C32" s="1385"/>
      <c r="D32" s="1385"/>
      <c r="E32" s="1385"/>
      <c r="F32" s="1385"/>
      <c r="G32" s="1385"/>
      <c r="H32" s="1385"/>
      <c r="I32" s="1385"/>
      <c r="J32" s="1385"/>
      <c r="K32" s="1385"/>
      <c r="L32" s="1386"/>
      <c r="M32" s="1385"/>
      <c r="N32" s="1385"/>
      <c r="O32" s="1385"/>
      <c r="P32" s="1385"/>
      <c r="Q32" s="1385"/>
      <c r="S32" s="2080" t="s">
        <v>427</v>
      </c>
      <c r="T32" s="2080"/>
      <c r="U32" s="1389"/>
      <c r="V32" s="2081" t="str">
        <f>IF(TITLE_DATE_PR_CHANGE="",IF(TITLE_DATE_PR="","",TITLE_DATE_PR),TITLE_DATE_PR_CHANGE)</f>
        <v>45268.58207175926</v>
      </c>
      <c r="W32" s="2081"/>
      <c r="X32" s="2081"/>
      <c r="Y32" s="2081"/>
      <c r="Z32" s="2081"/>
      <c r="AA32" s="2081"/>
      <c r="AB32" s="2081"/>
      <c r="AC32" s="314"/>
      <c r="AD32" s="2081" t="str">
        <f>IF(TITLE_DATE_PR_CHANGE="",IF(TITLE_DATE_PR="","",TITLE_DATE_PR),TITLE_DATE_PR_CHANGE)</f>
        <v>45268.58207175926</v>
      </c>
      <c r="AE32" s="2081"/>
      <c r="AF32" s="2081"/>
      <c r="AG32" s="2081"/>
      <c r="AH32" s="2081"/>
      <c r="AI32" s="2081"/>
      <c r="AJ32" s="2081"/>
      <c r="AK32" s="2081"/>
      <c r="AL32" s="2081"/>
      <c r="AM32" s="2081"/>
      <c r="AN32" s="2081"/>
      <c r="AO32" s="2081"/>
      <c r="AP32" s="2081"/>
      <c r="AQ32" s="2081"/>
      <c r="AR32" s="2081"/>
      <c r="AS32" s="2081"/>
      <c r="AT32" s="2081"/>
      <c r="AU32" s="2081"/>
      <c r="AV32" s="2081"/>
      <c r="AW32" s="2081"/>
      <c r="AX32" s="2081"/>
      <c r="AY32" s="2081"/>
      <c r="AZ32" s="2081"/>
      <c r="BA32" s="314"/>
      <c r="BB32" s="314"/>
      <c r="BC32" s="261"/>
      <c r="BD32" s="360"/>
      <c r="BE32" s="360"/>
      <c r="BF32" s="360"/>
      <c r="BG32" s="360"/>
      <c r="BH32" s="360"/>
    </row>
    <row s="1877" customFormat="1" customHeight="1" ht="18.75">
      <c r="A33" s="1385"/>
      <c r="B33" s="1385"/>
      <c r="C33" s="1385"/>
      <c r="D33" s="1385"/>
      <c r="E33" s="1385"/>
      <c r="F33" s="1385"/>
      <c r="G33" s="1385"/>
      <c r="H33" s="1385"/>
      <c r="I33" s="1385"/>
      <c r="J33" s="1385"/>
      <c r="K33" s="1385"/>
      <c r="L33" s="1386"/>
      <c r="M33" s="1385"/>
      <c r="N33" s="1385"/>
      <c r="O33" s="1385"/>
      <c r="P33" s="1385"/>
      <c r="Q33" s="1385"/>
      <c r="S33" s="2080" t="s">
        <v>428</v>
      </c>
      <c r="T33" s="2080"/>
      <c r="U33" s="1389"/>
      <c r="V33" s="2082" t="str">
        <f>IF(TITLE_NUMBER_PR_CHANGE="",IF(TITLE_NUMBER_PR="","",TITLE_NUMBER_PR),TITLE_NUMBER_PR_CHANGE)</f>
        <v>237-р</v>
      </c>
      <c r="W33" s="2082"/>
      <c r="X33" s="2082"/>
      <c r="Y33" s="2082"/>
      <c r="Z33" s="2082"/>
      <c r="AA33" s="2082"/>
      <c r="AB33" s="2082"/>
      <c r="AC33" s="314"/>
      <c r="AD33" s="2082" t="str">
        <f>IF(TITLE_NUMBER_PR_CHANGE="",IF(TITLE_NUMBER_PR="","",TITLE_NUMBER_PR),TITLE_NUMBER_PR_CHANGE)</f>
        <v>237-р</v>
      </c>
      <c r="AE33" s="2082"/>
      <c r="AF33" s="2082"/>
      <c r="AG33" s="2082"/>
      <c r="AH33" s="2082"/>
      <c r="AI33" s="2082"/>
      <c r="AJ33" s="2082"/>
      <c r="AK33" s="2082"/>
      <c r="AL33" s="2082"/>
      <c r="AM33" s="2082"/>
      <c r="AN33" s="2082"/>
      <c r="AO33" s="2082"/>
      <c r="AP33" s="2082"/>
      <c r="AQ33" s="2082"/>
      <c r="AR33" s="2082"/>
      <c r="AS33" s="2082"/>
      <c r="AT33" s="2082"/>
      <c r="AU33" s="2082"/>
      <c r="AV33" s="2082"/>
      <c r="AW33" s="2082"/>
      <c r="AX33" s="2082"/>
      <c r="AY33" s="2082"/>
      <c r="AZ33" s="2082"/>
      <c r="BA33" s="314"/>
      <c r="BB33" s="314"/>
      <c r="BC33" s="261"/>
      <c r="BD33" s="360"/>
      <c r="BE33" s="360"/>
      <c r="BF33" s="360"/>
      <c r="BG33" s="360"/>
      <c r="BH33" s="360"/>
    </row>
    <row s="1877" customFormat="1" customHeight="1" ht="18.75">
      <c r="A34" s="1385"/>
      <c r="B34" s="1385"/>
      <c r="C34" s="1385"/>
      <c r="D34" s="1385"/>
      <c r="E34" s="1385"/>
      <c r="F34" s="1385"/>
      <c r="G34" s="1385"/>
      <c r="H34" s="1385"/>
      <c r="I34" s="1385"/>
      <c r="J34" s="1385"/>
      <c r="K34" s="1385"/>
      <c r="L34" s="1386"/>
      <c r="M34" s="1385"/>
      <c r="N34" s="1385"/>
      <c r="O34" s="1385"/>
      <c r="P34" s="1385"/>
      <c r="Q34" s="1385"/>
      <c r="S34" s="2080" t="s">
        <v>40</v>
      </c>
      <c r="T34" s="2080"/>
      <c r="U34" s="1389"/>
      <c r="V34" s="2082" t="str">
        <f>IF(TITLE_IST_PUB_CHANGE="",IF(TITLE_IST_PUB="","",TITLE_IST_PUB),TITLE_IST_PUB_CHANGE)</f>
        <v>https://www.gov.spb.ru/gov/otrasl/energ_kom/inform_/standarty-raskrytiya-informacii-komitetom/teplo/</v>
      </c>
      <c r="W34" s="2082"/>
      <c r="X34" s="2082"/>
      <c r="Y34" s="2082"/>
      <c r="Z34" s="2082"/>
      <c r="AA34" s="2082"/>
      <c r="AB34" s="2082"/>
      <c r="AC34" s="314"/>
      <c r="AD34" s="2082" t="str">
        <f>IF(TITLE_IST_PUB_CHANGE="",IF(TITLE_IST_PUB="","",TITLE_IST_PUB),TITLE_IST_PUB_CHANGE)</f>
        <v>https://www.gov.spb.ru/gov/otrasl/energ_kom/inform_/standarty-raskrytiya-informacii-komitetom/teplo/</v>
      </c>
      <c r="AE34" s="2082"/>
      <c r="AF34" s="2082"/>
      <c r="AG34" s="2082"/>
      <c r="AH34" s="2082"/>
      <c r="AI34" s="2082"/>
      <c r="AJ34" s="2082"/>
      <c r="AK34" s="2082"/>
      <c r="AL34" s="2082"/>
      <c r="AM34" s="2082"/>
      <c r="AN34" s="2082"/>
      <c r="AO34" s="2082"/>
      <c r="AP34" s="2082"/>
      <c r="AQ34" s="2082"/>
      <c r="AR34" s="2082"/>
      <c r="AS34" s="2082"/>
      <c r="AT34" s="2082"/>
      <c r="AU34" s="2082"/>
      <c r="AV34" s="2082"/>
      <c r="AW34" s="2082"/>
      <c r="AX34" s="2082"/>
      <c r="AY34" s="2082"/>
      <c r="AZ34" s="2082"/>
      <c r="BA34" s="314"/>
      <c r="BB34" s="314"/>
      <c r="BC34" s="261"/>
      <c r="BD34" s="360"/>
      <c r="BE34" s="360"/>
      <c r="BF34" s="360"/>
      <c r="BG34" s="360"/>
      <c r="BH34" s="360"/>
    </row>
    <row customHeight="1" ht="14.25" hidden="1">
      <c r="Q35" s="272"/>
      <c r="R35" s="368"/>
      <c r="S35" s="1292"/>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7" customFormat="1" customHeight="1" ht="18.75" hidden="1">
      <c r="A36" s="1385"/>
      <c r="B36" s="1385"/>
      <c r="C36" s="1385"/>
      <c r="D36" s="1385"/>
      <c r="E36" s="1385"/>
      <c r="F36" s="1385"/>
      <c r="G36" s="1385"/>
      <c r="H36" s="1385"/>
      <c r="I36" s="1385"/>
      <c r="J36" s="1385"/>
      <c r="K36" s="1385"/>
      <c r="L36" s="1386"/>
      <c r="M36" s="1385"/>
      <c r="N36" s="1385"/>
      <c r="O36" s="1385"/>
      <c r="P36" s="1385"/>
      <c r="Q36" s="1385"/>
      <c r="S36" s="2080" t="s">
        <v>427</v>
      </c>
      <c r="T36" s="2080"/>
      <c r="U36" s="1389"/>
      <c r="V36" s="2081" t="str">
        <f>IF(TITLE_DATE_PR_CHANGE="",IF(TITLE_DATE_PR="","",TITLE_DATE_PR),TITLE_DATE_PR_CHANGE)</f>
        <v>45268.58207175926</v>
      </c>
      <c r="W36" s="2081"/>
      <c r="X36" s="2081"/>
      <c r="Y36" s="2081"/>
      <c r="Z36" s="2081"/>
      <c r="AA36" s="2081"/>
      <c r="AB36" s="2081"/>
      <c r="AC36" s="314"/>
      <c r="AD36" s="2081" t="str">
        <f>IF(TITLE_DATE_PR_CHANGE="",IF(TITLE_DATE_PR="","",TITLE_DATE_PR),TITLE_DATE_PR_CHANGE)</f>
        <v>45268.58207175926</v>
      </c>
      <c r="AE36" s="2081"/>
      <c r="AF36" s="2081"/>
      <c r="AG36" s="2081"/>
      <c r="AH36" s="2081"/>
      <c r="AI36" s="2081"/>
      <c r="AJ36" s="2081"/>
      <c r="AK36" s="2081"/>
      <c r="AL36" s="2081"/>
      <c r="AM36" s="2081"/>
      <c r="AN36" s="2081"/>
      <c r="AO36" s="2081"/>
      <c r="AP36" s="2081"/>
      <c r="AQ36" s="2081"/>
      <c r="AR36" s="2081"/>
      <c r="AS36" s="2081"/>
      <c r="AT36" s="2081"/>
      <c r="AU36" s="2081"/>
      <c r="AV36" s="2081"/>
      <c r="AW36" s="2081"/>
      <c r="AX36" s="2081"/>
      <c r="AY36" s="2081"/>
      <c r="AZ36" s="2081"/>
      <c r="BA36" s="314"/>
      <c r="BB36" s="314"/>
      <c r="BC36" s="261"/>
      <c r="BD36" s="360"/>
      <c r="BE36" s="360"/>
      <c r="BF36" s="360"/>
      <c r="BG36" s="360"/>
      <c r="BH36" s="360"/>
    </row>
    <row s="1877" customFormat="1" customHeight="1" ht="18.75" hidden="1">
      <c r="A37" s="1385"/>
      <c r="B37" s="1385"/>
      <c r="C37" s="1385"/>
      <c r="D37" s="1385"/>
      <c r="E37" s="1385"/>
      <c r="F37" s="1385"/>
      <c r="G37" s="1385"/>
      <c r="H37" s="1385"/>
      <c r="I37" s="1385"/>
      <c r="J37" s="1385"/>
      <c r="K37" s="1385"/>
      <c r="L37" s="1386"/>
      <c r="M37" s="1385"/>
      <c r="N37" s="1385"/>
      <c r="O37" s="1385"/>
      <c r="P37" s="1385"/>
      <c r="Q37" s="1385"/>
      <c r="S37" s="2080" t="s">
        <v>428</v>
      </c>
      <c r="T37" s="2080"/>
      <c r="U37" s="1389"/>
      <c r="V37" s="2082" t="str">
        <f>IF(TITLE_NUMBER_PR_CHANGE="",IF(TITLE_NUMBER_PR="","",TITLE_NUMBER_PR),TITLE_NUMBER_PR_CHANGE)</f>
        <v>237-р</v>
      </c>
      <c r="W37" s="2082"/>
      <c r="X37" s="2082"/>
      <c r="Y37" s="2082"/>
      <c r="Z37" s="2082"/>
      <c r="AA37" s="2082"/>
      <c r="AB37" s="2082"/>
      <c r="AC37" s="314"/>
      <c r="AD37" s="2082" t="str">
        <f>IF(TITLE_NUMBER_PR_CHANGE="",IF(TITLE_NUMBER_PR="","",TITLE_NUMBER_PR),TITLE_NUMBER_PR_CHANGE)</f>
        <v>237-р</v>
      </c>
      <c r="AE37" s="2082"/>
      <c r="AF37" s="2082"/>
      <c r="AG37" s="2082"/>
      <c r="AH37" s="2082"/>
      <c r="AI37" s="2082"/>
      <c r="AJ37" s="2082"/>
      <c r="AK37" s="2082"/>
      <c r="AL37" s="2082"/>
      <c r="AM37" s="2082"/>
      <c r="AN37" s="2082"/>
      <c r="AO37" s="2082"/>
      <c r="AP37" s="2082"/>
      <c r="AQ37" s="2082"/>
      <c r="AR37" s="2082"/>
      <c r="AS37" s="2082"/>
      <c r="AT37" s="2082"/>
      <c r="AU37" s="2082"/>
      <c r="AV37" s="2082"/>
      <c r="AW37" s="2082"/>
      <c r="AX37" s="2082"/>
      <c r="AY37" s="2082"/>
      <c r="AZ37" s="2082"/>
      <c r="BA37" s="314"/>
      <c r="BB37" s="314"/>
      <c r="BC37" s="261"/>
      <c r="BD37" s="360"/>
      <c r="BE37" s="360"/>
      <c r="BF37" s="360"/>
      <c r="BG37" s="360"/>
      <c r="BH37" s="360"/>
    </row>
    <row s="1877" customFormat="1" customHeight="1" ht="0">
      <c r="A38" s="1385"/>
      <c r="B38" s="1385"/>
      <c r="C38" s="1385"/>
      <c r="D38" s="1385"/>
      <c r="E38" s="1385"/>
      <c r="F38" s="1385"/>
      <c r="G38" s="1385"/>
      <c r="H38" s="1385"/>
      <c r="I38" s="1385"/>
      <c r="J38" s="1385"/>
      <c r="K38" s="1385"/>
      <c r="L38" s="1386"/>
      <c r="M38" s="1385"/>
      <c r="N38" s="1385"/>
      <c r="O38" s="1385"/>
      <c r="P38" s="1385"/>
      <c r="Q38" s="1385"/>
      <c r="S38" s="310"/>
      <c r="T38" s="310"/>
      <c r="U38" s="1505"/>
      <c r="V38" s="314"/>
      <c r="W38" s="314"/>
      <c r="X38" s="314"/>
      <c r="Y38" s="314"/>
      <c r="Z38" s="314"/>
      <c r="AA38" s="314"/>
      <c r="AB38" s="314"/>
      <c r="AC38" s="259" t="s">
        <v>431</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431</v>
      </c>
      <c r="BD38" s="360"/>
      <c r="BE38" s="360"/>
      <c r="BF38" s="360"/>
      <c r="BG38" s="360"/>
      <c r="BH38" s="360"/>
    </row>
    <row customHeight="1" ht="14.25">
      <c r="Q39" s="272"/>
      <c r="R39" s="368"/>
      <c r="S39" s="1292"/>
      <c r="T39" s="353"/>
      <c r="U39" s="1249"/>
      <c r="V39" s="2106"/>
      <c r="W39" s="2106"/>
      <c r="X39" s="2106"/>
      <c r="Y39" s="2106"/>
      <c r="Z39" s="2106"/>
      <c r="AA39" s="2106"/>
      <c r="AB39" s="2106"/>
      <c r="AC39" s="2106"/>
      <c r="AD39" s="2106"/>
      <c r="AE39" s="2106"/>
      <c r="AF39" s="2106"/>
      <c r="AG39" s="2106"/>
      <c r="AH39" s="2106"/>
      <c r="AI39" s="2106"/>
      <c r="AJ39" s="2106"/>
      <c r="AK39" s="2106"/>
      <c r="AL39" s="2106"/>
      <c r="AM39" s="2106"/>
      <c r="AN39" s="2106"/>
      <c r="AO39" s="2106"/>
      <c r="AP39" s="2106"/>
      <c r="AQ39" s="2106"/>
      <c r="AR39" s="2106"/>
      <c r="AS39" s="2106"/>
      <c r="AT39" s="2106"/>
      <c r="AU39" s="2106"/>
      <c r="AV39" s="2106"/>
      <c r="AW39" s="2106"/>
      <c r="AX39" s="2106"/>
      <c r="AY39" s="2106"/>
      <c r="AZ39" s="2106"/>
      <c r="BA39" s="2106"/>
    </row>
    <row customHeight="1" ht="14.25">
      <c r="Q40" s="272"/>
      <c r="R40" s="368"/>
      <c r="S40" s="1953" t="s">
        <v>305</v>
      </c>
      <c r="T40" s="1953"/>
      <c r="U40" s="1953"/>
      <c r="V40" s="1953"/>
      <c r="W40" s="1953"/>
      <c r="X40" s="1953"/>
      <c r="Y40" s="1953"/>
      <c r="Z40" s="1953"/>
      <c r="AA40" s="1953"/>
      <c r="AB40" s="1953"/>
      <c r="AC40" s="1953"/>
      <c r="AD40" s="1953"/>
      <c r="AE40" s="1953"/>
      <c r="AF40" s="1953"/>
      <c r="AG40" s="1953"/>
      <c r="AH40" s="1953"/>
      <c r="AI40" s="1953"/>
      <c r="AJ40" s="1953"/>
      <c r="AK40" s="1953"/>
      <c r="AL40" s="1953"/>
      <c r="AM40" s="1953"/>
      <c r="AN40" s="1953"/>
      <c r="AO40" s="1953"/>
      <c r="AP40" s="1953"/>
      <c r="AQ40" s="1953"/>
      <c r="AR40" s="1953"/>
      <c r="AS40" s="1953"/>
      <c r="AT40" s="1953"/>
      <c r="AU40" s="1953"/>
      <c r="AV40" s="1953"/>
      <c r="AW40" s="1953"/>
      <c r="AX40" s="1953"/>
      <c r="AY40" s="1953"/>
      <c r="AZ40" s="1953"/>
      <c r="BA40" s="1953"/>
      <c r="BB40" s="1953"/>
      <c r="BC40" s="1953" t="s">
        <v>306</v>
      </c>
    </row>
    <row customHeight="1" ht="14.25">
      <c r="Q41" s="272"/>
      <c r="R41" s="368"/>
      <c r="S41" s="2107" t="s">
        <v>87</v>
      </c>
      <c r="T41" s="2044" t="s">
        <v>512</v>
      </c>
      <c r="U41" s="281"/>
      <c r="V41" s="2108" t="s">
        <v>433</v>
      </c>
      <c r="W41" s="2109"/>
      <c r="X41" s="2109"/>
      <c r="Y41" s="2109"/>
      <c r="Z41" s="2109"/>
      <c r="AA41" s="2109"/>
      <c r="AB41" s="2110"/>
      <c r="AC41" s="2111" t="s">
        <v>434</v>
      </c>
      <c r="AD41" s="2155" t="s">
        <v>529</v>
      </c>
      <c r="AE41" s="2128"/>
      <c r="AF41" s="2128"/>
      <c r="AG41" s="2156"/>
      <c r="AH41" s="2155" t="s">
        <v>530</v>
      </c>
      <c r="AI41" s="2128"/>
      <c r="AJ41" s="2128"/>
      <c r="AK41" s="2156"/>
      <c r="AL41" s="2155" t="s">
        <v>531</v>
      </c>
      <c r="AM41" s="2128"/>
      <c r="AN41" s="2128"/>
      <c r="AO41" s="2156"/>
      <c r="AP41" s="2155" t="s">
        <v>516</v>
      </c>
      <c r="AQ41" s="2128"/>
      <c r="AR41" s="2128"/>
      <c r="AS41" s="2156"/>
      <c r="AT41" s="2108" t="s">
        <v>433</v>
      </c>
      <c r="AU41" s="2109"/>
      <c r="AV41" s="2109"/>
      <c r="AW41" s="2109"/>
      <c r="AX41" s="2109"/>
      <c r="AY41" s="2109"/>
      <c r="AZ41" s="2110"/>
      <c r="BA41" s="2111" t="s">
        <v>434</v>
      </c>
      <c r="BB41" s="2114" t="s">
        <v>436</v>
      </c>
      <c r="BC41" s="1953"/>
    </row>
    <row customHeight="1" ht="33.75">
      <c r="Q42" s="272"/>
      <c r="R42" s="368"/>
      <c r="S42" s="2107"/>
      <c r="T42" s="2044"/>
      <c r="U42" s="1026"/>
      <c r="V42" s="2011" t="s">
        <v>517</v>
      </c>
      <c r="W42" s="2012"/>
      <c r="X42" s="2011" t="s">
        <v>518</v>
      </c>
      <c r="Y42" s="2012"/>
      <c r="Z42" s="2126" t="s">
        <v>519</v>
      </c>
      <c r="AA42" s="2144"/>
      <c r="AB42" s="2145"/>
      <c r="AC42" s="2112"/>
      <c r="AD42" s="2157"/>
      <c r="AE42" s="2158"/>
      <c r="AF42" s="2158"/>
      <c r="AG42" s="2170"/>
      <c r="AH42" s="2157"/>
      <c r="AI42" s="2158"/>
      <c r="AJ42" s="2158"/>
      <c r="AK42" s="2170"/>
      <c r="AL42" s="2157"/>
      <c r="AM42" s="2158"/>
      <c r="AN42" s="2158"/>
      <c r="AO42" s="2170"/>
      <c r="AP42" s="2157"/>
      <c r="AQ42" s="2158"/>
      <c r="AR42" s="2158"/>
      <c r="AS42" s="2170"/>
      <c r="AT42" s="2011" t="s">
        <v>532</v>
      </c>
      <c r="AU42" s="2012"/>
      <c r="AV42" s="2011" t="s">
        <v>533</v>
      </c>
      <c r="AW42" s="2012"/>
      <c r="AX42" s="2126" t="s">
        <v>519</v>
      </c>
      <c r="AY42" s="2144"/>
      <c r="AZ42" s="2145"/>
      <c r="BA42" s="2112"/>
      <c r="BB42" s="2115"/>
      <c r="BC42" s="1953"/>
    </row>
    <row customHeight="1" ht="14.25">
      <c r="Q43" s="272"/>
      <c r="R43" s="368"/>
      <c r="S43" s="2107"/>
      <c r="T43" s="2044"/>
      <c r="U43" s="1026"/>
      <c r="V43" s="2019"/>
      <c r="W43" s="2020"/>
      <c r="X43" s="2019"/>
      <c r="Y43" s="2020"/>
      <c r="Z43" s="2127"/>
      <c r="AA43" s="2146"/>
      <c r="AB43" s="2147"/>
      <c r="AC43" s="2112"/>
      <c r="AD43" s="2157"/>
      <c r="AE43" s="2158"/>
      <c r="AF43" s="2158"/>
      <c r="AG43" s="2170"/>
      <c r="AH43" s="2157"/>
      <c r="AI43" s="2158"/>
      <c r="AJ43" s="2158"/>
      <c r="AK43" s="2170"/>
      <c r="AL43" s="2157"/>
      <c r="AM43" s="2158"/>
      <c r="AN43" s="2158"/>
      <c r="AO43" s="2170"/>
      <c r="AP43" s="2157"/>
      <c r="AQ43" s="2158"/>
      <c r="AR43" s="2158"/>
      <c r="AS43" s="2170"/>
      <c r="AT43" s="2019"/>
      <c r="AU43" s="2020"/>
      <c r="AV43" s="2019"/>
      <c r="AW43" s="2020"/>
      <c r="AX43" s="2127"/>
      <c r="AY43" s="2146"/>
      <c r="AZ43" s="2147"/>
      <c r="BA43" s="2112"/>
      <c r="BB43" s="2115"/>
      <c r="BC43" s="1953"/>
    </row>
    <row customHeight="1" ht="14.25">
      <c r="A44" s="1387"/>
      <c r="B44" s="1387" t="s">
        <v>134</v>
      </c>
      <c r="C44" s="1387" t="s">
        <v>135</v>
      </c>
      <c r="D44" s="1387" t="s">
        <v>136</v>
      </c>
      <c r="E44" s="1381" t="s">
        <v>441</v>
      </c>
      <c r="F44" s="1381" t="s">
        <v>442</v>
      </c>
      <c r="G44" s="1381" t="s">
        <v>443</v>
      </c>
      <c r="H44" s="1381" t="s">
        <v>444</v>
      </c>
      <c r="I44" s="1381" t="s">
        <v>445</v>
      </c>
      <c r="J44" s="1381" t="s">
        <v>446</v>
      </c>
      <c r="K44" s="1381" t="s">
        <v>447</v>
      </c>
      <c r="L44" s="1381" t="s">
        <v>422</v>
      </c>
      <c r="Q44" s="272"/>
      <c r="R44" s="368"/>
      <c r="S44" s="2107"/>
      <c r="T44" s="2044"/>
      <c r="U44" s="282"/>
      <c r="V44" s="1496" t="s">
        <v>485</v>
      </c>
      <c r="W44" s="1496" t="s">
        <v>486</v>
      </c>
      <c r="X44" s="1496" t="s">
        <v>485</v>
      </c>
      <c r="Y44" s="1496" t="s">
        <v>486</v>
      </c>
      <c r="Z44" s="1506" t="s">
        <v>450</v>
      </c>
      <c r="AA44" s="2103" t="s">
        <v>451</v>
      </c>
      <c r="AB44" s="2104"/>
      <c r="AC44" s="2113"/>
      <c r="AD44" s="2159"/>
      <c r="AE44" s="2160"/>
      <c r="AF44" s="2160"/>
      <c r="AG44" s="2161"/>
      <c r="AH44" s="2159"/>
      <c r="AI44" s="2160"/>
      <c r="AJ44" s="2160"/>
      <c r="AK44" s="2161"/>
      <c r="AL44" s="2159"/>
      <c r="AM44" s="2160"/>
      <c r="AN44" s="2160"/>
      <c r="AO44" s="2161"/>
      <c r="AP44" s="2159"/>
      <c r="AQ44" s="2160"/>
      <c r="AR44" s="2160"/>
      <c r="AS44" s="2161"/>
      <c r="AT44" s="1496" t="s">
        <v>485</v>
      </c>
      <c r="AU44" s="1496" t="s">
        <v>486</v>
      </c>
      <c r="AV44" s="1496" t="s">
        <v>485</v>
      </c>
      <c r="AW44" s="1496" t="s">
        <v>486</v>
      </c>
      <c r="AX44" s="1506" t="s">
        <v>450</v>
      </c>
      <c r="AY44" s="2103" t="s">
        <v>451</v>
      </c>
      <c r="AZ44" s="2104"/>
      <c r="BA44" s="2113"/>
      <c r="BB44" s="2116"/>
      <c r="BC44" s="1953"/>
    </row>
    <row s="1666" customFormat="1" customHeight="1" ht="11.25" hidden="1">
      <c r="A45" s="1387"/>
      <c r="B45" s="1387"/>
      <c r="C45" s="1387"/>
      <c r="D45" s="1387"/>
      <c r="E45" s="1387"/>
      <c r="F45" s="1387"/>
      <c r="G45" s="1387"/>
      <c r="H45" s="1387"/>
      <c r="I45" s="1387"/>
      <c r="J45" s="1387"/>
      <c r="K45" s="1387"/>
      <c r="L45" s="1381"/>
      <c r="M45" s="1379"/>
      <c r="N45" s="1379"/>
      <c r="O45" s="1379"/>
      <c r="P45" s="506"/>
      <c r="Q45" s="1267"/>
      <c r="R45" s="1267">
        <v>1</v>
      </c>
      <c r="S45" s="1294" t="s">
        <v>108</v>
      </c>
      <c r="T45" s="1268" t="s">
        <v>109</v>
      </c>
      <c r="U45" s="1250" t="str">
        <f>OFFSET(U45,0,-1)</f>
        <v>2</v>
      </c>
      <c r="V45" s="1499">
        <f>OFFSET(V45,0,-1)+1</f>
        <v>3</v>
      </c>
      <c r="W45" s="1499">
        <f>OFFSET(W45,0,-1)+1</f>
        <v>4</v>
      </c>
      <c r="X45" s="1499">
        <f>OFFSET(X45,0,-1)+1</f>
        <v>5</v>
      </c>
      <c r="Y45" s="1499">
        <f>OFFSET(Y45,0,-1)+1</f>
        <v>6</v>
      </c>
      <c r="Z45" s="1499">
        <f>OFFSET(Z45,0,-1)+1</f>
        <v>7</v>
      </c>
      <c r="AA45" s="2105">
        <f>OFFSET(AA45,0,-1)+1</f>
        <v>8</v>
      </c>
      <c r="AB45" s="2105"/>
      <c r="AC45" s="1499">
        <f>OFFSET(AC45,0,-2)+1</f>
        <v>9</v>
      </c>
      <c r="AD45" s="1499">
        <f>OFFSET(AD45,0,-1)+1</f>
        <v>10</v>
      </c>
      <c r="AE45" s="1499"/>
      <c r="AF45" s="1499"/>
      <c r="AG45" s="1499"/>
      <c r="AH45" s="1499"/>
      <c r="AI45" s="1499"/>
      <c r="AJ45" s="1499"/>
      <c r="AK45" s="1499"/>
      <c r="AL45" s="1499"/>
      <c r="AM45" s="1499"/>
      <c r="AN45" s="1499"/>
      <c r="AO45" s="1499"/>
      <c r="AP45" s="1499"/>
      <c r="AQ45" s="1499"/>
      <c r="AR45" s="1499"/>
      <c r="AS45" s="1499"/>
      <c r="AT45" s="1499"/>
      <c r="AU45" s="1499"/>
      <c r="AV45" s="1499"/>
      <c r="AW45" s="1499">
        <f>OFFSET(AW45,0,-1)+1</f>
        <v>1</v>
      </c>
      <c r="AX45" s="1499">
        <f>OFFSET(AX45,0,-1)+1</f>
        <v>2</v>
      </c>
      <c r="AY45" s="2105">
        <f>OFFSET(AY45,0,-1)+1</f>
        <v>3</v>
      </c>
      <c r="AZ45" s="2105"/>
      <c r="BA45" s="1499">
        <f>OFFSET(BA45,0,-2)+1</f>
        <v>4</v>
      </c>
      <c r="BB45" s="1250">
        <f>OFFSET(BB45,0,-1)</f>
        <v>4</v>
      </c>
      <c r="BC45" s="1499">
        <f>OFFSET(BC45,0,-1)+1</f>
        <v>5</v>
      </c>
      <c r="BD45" s="507"/>
      <c r="BE45" s="507"/>
      <c r="BF45" s="507"/>
      <c r="BG45" s="507"/>
      <c r="BH45" s="507"/>
    </row>
    <row customHeight="1" ht="21">
      <c r="A46" s="1380" t="s">
        <v>281</v>
      </c>
      <c r="B46" s="1380"/>
      <c r="C46" s="1380"/>
      <c r="D46" s="1380"/>
      <c r="E46" s="2089">
        <v>1</v>
      </c>
      <c r="F46" s="1380"/>
      <c r="G46" s="1380"/>
      <c r="H46" s="1380"/>
      <c r="I46" s="1380"/>
      <c r="J46" s="1380"/>
      <c r="K46" s="1380"/>
      <c r="L46" s="1381"/>
      <c r="M46" s="1382"/>
      <c r="N46" s="1382"/>
      <c r="O46" s="1382"/>
      <c r="P46" s="1426"/>
      <c r="Q46" s="867"/>
      <c r="R46" s="343"/>
      <c r="S46" s="1510">
        <f>INDEX(PT_DIFFERENTIATION_NUM_NTAR,MATCH(A46,PT_DIFFERENTIATION_NTAR_ID,0))</f>
        <v>0</v>
      </c>
      <c r="T46" s="278" t="s">
        <v>122</v>
      </c>
      <c r="U46" s="280"/>
      <c r="V46" s="2084"/>
      <c r="W46" s="2084"/>
      <c r="X46" s="2084"/>
      <c r="Y46" s="2084"/>
      <c r="Z46" s="2084"/>
      <c r="AA46" s="2084"/>
      <c r="AB46" s="2084"/>
      <c r="AC46" s="2085"/>
      <c r="AD46" s="2083" t="str">
        <f>INDEX(PT_DIFFERENTIATION_NTAR,MATCH(A46,PT_DIFFERENTIATION_NTAR_ID,0))</f>
        <v/>
      </c>
      <c r="AE46" s="2084"/>
      <c r="AF46" s="2084"/>
      <c r="AG46" s="2084"/>
      <c r="AH46" s="2084"/>
      <c r="AI46" s="2084"/>
      <c r="AJ46" s="2084"/>
      <c r="AK46" s="2084"/>
      <c r="AL46" s="2084"/>
      <c r="AM46" s="2084"/>
      <c r="AN46" s="2084"/>
      <c r="AO46" s="2084"/>
      <c r="AP46" s="2084"/>
      <c r="AQ46" s="2084"/>
      <c r="AR46" s="2084"/>
      <c r="AS46" s="2084"/>
      <c r="AT46" s="2084"/>
      <c r="AU46" s="2084"/>
      <c r="AV46" s="2084"/>
      <c r="AW46" s="2084"/>
      <c r="AX46" s="2084"/>
      <c r="AY46" s="2084"/>
      <c r="AZ46" s="2084"/>
      <c r="BA46" s="2084"/>
      <c r="BB46" s="2085"/>
      <c r="BC46"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0" t="s">
        <v>281</v>
      </c>
      <c r="B47" s="1380" t="s">
        <v>282</v>
      </c>
      <c r="C47" s="1380"/>
      <c r="D47" s="1380"/>
      <c r="E47" s="2090"/>
      <c r="F47" s="2089">
        <v>1</v>
      </c>
      <c r="G47" s="1380"/>
      <c r="H47" s="1380"/>
      <c r="I47" s="1380"/>
      <c r="J47" s="1380"/>
      <c r="K47" s="1380"/>
      <c r="L47" s="1381"/>
      <c r="M47" s="1382"/>
      <c r="N47" s="1382"/>
      <c r="O47" s="1382"/>
      <c r="P47" s="1427"/>
      <c r="Q47" s="1428"/>
      <c r="R47" s="341"/>
      <c r="S47" s="1510" t="str">
        <f>INDEX(PT_DIFFERENTIATION_NUM_TER,MATCH(B47,PT_DIFFERENTIATION_TER_ID,0))</f>
        <v>.</v>
      </c>
      <c r="T47" s="290" t="s">
        <v>404</v>
      </c>
      <c r="U47" s="280"/>
      <c r="V47" s="2084"/>
      <c r="W47" s="2084"/>
      <c r="X47" s="2084"/>
      <c r="Y47" s="2084"/>
      <c r="Z47" s="2084"/>
      <c r="AA47" s="2084"/>
      <c r="AB47" s="2084"/>
      <c r="AC47" s="2085"/>
      <c r="AD47" s="2083" t="str">
        <f>INDEX(PT_DIFFERENTIATION_TER,MATCH(B47,PT_DIFFERENTIATION_TER_ID,0))</f>
        <v/>
      </c>
      <c r="AE47" s="2084"/>
      <c r="AF47" s="2084"/>
      <c r="AG47" s="2084"/>
      <c r="AH47" s="2084"/>
      <c r="AI47" s="2084"/>
      <c r="AJ47" s="2084"/>
      <c r="AK47" s="2084"/>
      <c r="AL47" s="2084"/>
      <c r="AM47" s="2084"/>
      <c r="AN47" s="2084"/>
      <c r="AO47" s="2084"/>
      <c r="AP47" s="2084"/>
      <c r="AQ47" s="2084"/>
      <c r="AR47" s="2084"/>
      <c r="AS47" s="2084"/>
      <c r="AT47" s="2084"/>
      <c r="AU47" s="2084"/>
      <c r="AV47" s="2084"/>
      <c r="AW47" s="2084"/>
      <c r="AX47" s="2084"/>
      <c r="AY47" s="2084"/>
      <c r="AZ47" s="2084"/>
      <c r="BA47" s="2084"/>
      <c r="BB47" s="2085"/>
      <c r="BC47" s="1273" t="s">
        <v>405</v>
      </c>
      <c r="BE47" s="496"/>
      <c r="BF47" s="496" t="str">
        <f>IF(T47="","",T47)</f>
        <v>Территория действия тарифа</v>
      </c>
      <c r="BG47" s="496"/>
      <c r="BH47" s="496"/>
    </row>
    <row customHeight="1" ht="33.75">
      <c r="A48" s="1380" t="s">
        <v>281</v>
      </c>
      <c r="B48" s="1380" t="s">
        <v>282</v>
      </c>
      <c r="C48" s="1380" t="s">
        <v>283</v>
      </c>
      <c r="D48" s="1380"/>
      <c r="E48" s="2090"/>
      <c r="F48" s="2090"/>
      <c r="G48" s="2089">
        <v>1</v>
      </c>
      <c r="H48" s="1380"/>
      <c r="I48" s="1380"/>
      <c r="J48" s="1380"/>
      <c r="K48" s="1380"/>
      <c r="L48" s="1381"/>
      <c r="M48" s="1382"/>
      <c r="N48" s="1382"/>
      <c r="O48" s="1382"/>
      <c r="P48" s="1429"/>
      <c r="Q48" s="1428"/>
      <c r="R48" s="341"/>
      <c r="S48" s="1510" t="str">
        <f>INDEX(PT_DIFFERENTIATION_NUM_CS,MATCH(C48,PT_DIFFERENTIATION_CS_ID,0))</f>
        <v>..</v>
      </c>
      <c r="T48" s="291" t="s">
        <v>521</v>
      </c>
      <c r="U48" s="280"/>
      <c r="V48" s="2084"/>
      <c r="W48" s="2084"/>
      <c r="X48" s="2084"/>
      <c r="Y48" s="2084"/>
      <c r="Z48" s="2084"/>
      <c r="AA48" s="2084"/>
      <c r="AB48" s="2084"/>
      <c r="AC48" s="2085"/>
      <c r="AD48" s="2083" t="str">
        <f>INDEX(PT_DIFFERENTIATION_CS,MATCH(C48,PT_DIFFERENTIATION_CS_ID,0))</f>
        <v/>
      </c>
      <c r="AE48" s="2084"/>
      <c r="AF48" s="2084"/>
      <c r="AG48" s="2084"/>
      <c r="AH48" s="2084"/>
      <c r="AI48" s="2084"/>
      <c r="AJ48" s="2084"/>
      <c r="AK48" s="2084"/>
      <c r="AL48" s="2084"/>
      <c r="AM48" s="2084"/>
      <c r="AN48" s="2084"/>
      <c r="AO48" s="2084"/>
      <c r="AP48" s="2084"/>
      <c r="AQ48" s="2084"/>
      <c r="AR48" s="2084"/>
      <c r="AS48" s="2084"/>
      <c r="AT48" s="2084"/>
      <c r="AU48" s="2084"/>
      <c r="AV48" s="2084"/>
      <c r="AW48" s="2084"/>
      <c r="AX48" s="2084"/>
      <c r="AY48" s="2084"/>
      <c r="AZ48" s="2084"/>
      <c r="BA48" s="2084"/>
      <c r="BB48" s="2085"/>
      <c r="BC48" s="1273" t="s">
        <v>522</v>
      </c>
      <c r="BE48" s="496"/>
      <c r="BF48" s="496" t="str">
        <f>IF(T48="","",T48)</f>
        <v>Наименование централизованной системы водоотведения</v>
      </c>
      <c r="BG48" s="496"/>
      <c r="BH48" s="496"/>
    </row>
    <row s="1667" customFormat="1" customHeight="1" ht="0">
      <c r="A49" s="1360" t="s">
        <v>281</v>
      </c>
      <c r="B49" s="1360" t="s">
        <v>282</v>
      </c>
      <c r="C49" s="1360" t="s">
        <v>283</v>
      </c>
      <c r="D49" s="1360" t="s">
        <v>534</v>
      </c>
      <c r="E49" s="2090"/>
      <c r="F49" s="2090"/>
      <c r="G49" s="2090"/>
      <c r="H49" s="2089">
        <v>1</v>
      </c>
      <c r="I49" s="1360"/>
      <c r="J49" s="1360"/>
      <c r="K49" s="1360"/>
      <c r="L49" s="1363"/>
      <c r="M49" s="1332"/>
      <c r="N49" s="1332"/>
      <c r="O49" s="1332"/>
      <c r="P49" s="1514"/>
      <c r="Q49" s="1515"/>
      <c r="R49" s="345"/>
      <c r="S49" s="1037"/>
      <c r="T49" s="1516"/>
      <c r="U49" s="1401"/>
      <c r="V49" s="2130"/>
      <c r="W49" s="2130"/>
      <c r="X49" s="2130"/>
      <c r="Y49" s="2130"/>
      <c r="Z49" s="2130"/>
      <c r="AA49" s="2130"/>
      <c r="AB49" s="2130"/>
      <c r="AC49" s="2131"/>
      <c r="AD49" s="2129"/>
      <c r="AE49" s="2130"/>
      <c r="AF49" s="2130"/>
      <c r="AG49" s="2130"/>
      <c r="AH49" s="2130"/>
      <c r="AI49" s="2130"/>
      <c r="AJ49" s="2130"/>
      <c r="AK49" s="2130"/>
      <c r="AL49" s="2130"/>
      <c r="AM49" s="2130"/>
      <c r="AN49" s="2130"/>
      <c r="AO49" s="2130"/>
      <c r="AP49" s="2130"/>
      <c r="AQ49" s="2130"/>
      <c r="AR49" s="2130"/>
      <c r="AS49" s="2130"/>
      <c r="AT49" s="2130"/>
      <c r="AU49" s="2130"/>
      <c r="AV49" s="2130"/>
      <c r="AW49" s="2130"/>
      <c r="AX49" s="2130"/>
      <c r="AY49" s="2130"/>
      <c r="AZ49" s="2130"/>
      <c r="BA49" s="2130"/>
      <c r="BB49" s="2131"/>
      <c r="BC49" s="1402" t="s">
        <v>409</v>
      </c>
      <c r="BE49" s="496"/>
      <c r="BF49" s="496" t="str">
        <f>IF(T49="","",T49)</f>
        <v/>
      </c>
      <c r="BG49" s="496"/>
      <c r="BH49" s="496"/>
    </row>
    <row s="1667" customFormat="1" customHeight="1" ht="0">
      <c r="A50" s="1360" t="s">
        <v>281</v>
      </c>
      <c r="B50" s="1360" t="s">
        <v>282</v>
      </c>
      <c r="C50" s="1360" t="s">
        <v>283</v>
      </c>
      <c r="D50" s="1360" t="s">
        <v>534</v>
      </c>
      <c r="E50" s="2090"/>
      <c r="F50" s="2090"/>
      <c r="G50" s="2090"/>
      <c r="H50" s="2090"/>
      <c r="I50" s="2091" t="str">
        <f>S49&amp;".1"</f>
        <v>.1</v>
      </c>
      <c r="J50" s="1360"/>
      <c r="K50" s="1360"/>
      <c r="L50" s="1363" t="s">
        <v>410</v>
      </c>
      <c r="M50" s="506"/>
      <c r="N50" s="506"/>
      <c r="O50" s="506"/>
      <c r="P50" s="2093">
        <v>1</v>
      </c>
      <c r="Q50" s="1498"/>
      <c r="R50" s="344"/>
      <c r="S50" s="1037"/>
      <c r="T50" s="1400"/>
      <c r="U50" s="1401"/>
      <c r="V50" s="2130"/>
      <c r="W50" s="2130"/>
      <c r="X50" s="2130"/>
      <c r="Y50" s="2130"/>
      <c r="Z50" s="2130"/>
      <c r="AA50" s="2130"/>
      <c r="AB50" s="2130"/>
      <c r="AC50" s="2131"/>
      <c r="AD50" s="2129"/>
      <c r="AE50" s="2130"/>
      <c r="AF50" s="2130"/>
      <c r="AG50" s="2130"/>
      <c r="AH50" s="2130"/>
      <c r="AI50" s="2130"/>
      <c r="AJ50" s="2130"/>
      <c r="AK50" s="2130"/>
      <c r="AL50" s="2130"/>
      <c r="AM50" s="2130"/>
      <c r="AN50" s="2130"/>
      <c r="AO50" s="2130"/>
      <c r="AP50" s="2130"/>
      <c r="AQ50" s="2130"/>
      <c r="AR50" s="2130"/>
      <c r="AS50" s="2130"/>
      <c r="AT50" s="2130"/>
      <c r="AU50" s="2130"/>
      <c r="AV50" s="2130"/>
      <c r="AW50" s="2130"/>
      <c r="AX50" s="2130"/>
      <c r="AY50" s="2130"/>
      <c r="AZ50" s="2130"/>
      <c r="BA50" s="2130"/>
      <c r="BB50" s="2131"/>
      <c r="BC50" s="1402"/>
      <c r="BE50" s="496"/>
      <c r="BF50" s="496" t="str">
        <f>IF(T50="","",T50)</f>
        <v/>
      </c>
      <c r="BG50" s="496"/>
      <c r="BH50" s="496"/>
    </row>
    <row s="1667" customFormat="1" customHeight="1" ht="0">
      <c r="A51" s="1360" t="s">
        <v>281</v>
      </c>
      <c r="B51" s="1360" t="s">
        <v>282</v>
      </c>
      <c r="C51" s="1360" t="s">
        <v>283</v>
      </c>
      <c r="D51" s="1360" t="s">
        <v>534</v>
      </c>
      <c r="E51" s="2090"/>
      <c r="F51" s="2090"/>
      <c r="G51" s="2090"/>
      <c r="H51" s="2090"/>
      <c r="I51" s="2092"/>
      <c r="J51" s="2091" t="str">
        <f>S49&amp;".1"</f>
        <v>.1</v>
      </c>
      <c r="K51" s="1360"/>
      <c r="L51" s="1363"/>
      <c r="M51" s="506"/>
      <c r="N51" s="506"/>
      <c r="O51" s="506"/>
      <c r="P51" s="2093"/>
      <c r="Q51" s="2093">
        <v>1</v>
      </c>
      <c r="R51" s="345"/>
      <c r="S51" s="1037"/>
      <c r="T51" s="1416"/>
      <c r="U51" s="1401"/>
      <c r="V51" s="2130"/>
      <c r="W51" s="2130"/>
      <c r="X51" s="2130"/>
      <c r="Y51" s="2130"/>
      <c r="Z51" s="2130"/>
      <c r="AA51" s="2130"/>
      <c r="AB51" s="2130"/>
      <c r="AC51" s="2131"/>
      <c r="AD51" s="2129"/>
      <c r="AE51" s="2130"/>
      <c r="AF51" s="2130"/>
      <c r="AG51" s="2130"/>
      <c r="AH51" s="2130"/>
      <c r="AI51" s="2130"/>
      <c r="AJ51" s="2130"/>
      <c r="AK51" s="2130"/>
      <c r="AL51" s="2130"/>
      <c r="AM51" s="2130"/>
      <c r="AN51" s="2191"/>
      <c r="AO51" s="2191"/>
      <c r="AP51" s="2130"/>
      <c r="AQ51" s="2130"/>
      <c r="AR51" s="2130"/>
      <c r="AS51" s="2130"/>
      <c r="AT51" s="2130"/>
      <c r="AU51" s="2130"/>
      <c r="AV51" s="2130"/>
      <c r="AW51" s="2130"/>
      <c r="AX51" s="2130"/>
      <c r="AY51" s="2130"/>
      <c r="AZ51" s="2130"/>
      <c r="BA51" s="2130"/>
      <c r="BB51" s="2131"/>
      <c r="BC51" s="1402"/>
      <c r="BE51" s="496"/>
      <c r="BF51" s="496" t="str">
        <f>IF(T51="","",T51)</f>
        <v/>
      </c>
      <c r="BG51" s="496"/>
      <c r="BH51" s="496"/>
    </row>
    <row customHeight="1" ht="11.25">
      <c r="A52" s="1380" t="s">
        <v>281</v>
      </c>
      <c r="B52" s="1380" t="s">
        <v>282</v>
      </c>
      <c r="C52" s="1380" t="s">
        <v>283</v>
      </c>
      <c r="D52" s="1380" t="s">
        <v>534</v>
      </c>
      <c r="E52" s="2090"/>
      <c r="F52" s="2090"/>
      <c r="G52" s="2090"/>
      <c r="H52" s="2090"/>
      <c r="I52" s="2092"/>
      <c r="J52" s="2092"/>
      <c r="K52" s="2091" t="str">
        <f>S48&amp;".1"</f>
        <v>...1</v>
      </c>
      <c r="L52" s="1381"/>
      <c r="P52" s="2093"/>
      <c r="Q52" s="2093"/>
      <c r="R52" s="345">
        <v>1</v>
      </c>
      <c r="S52" s="2166" t="str">
        <f>$K52</f>
        <v>...1</v>
      </c>
      <c r="T52" s="2185"/>
      <c r="U52" s="280"/>
      <c r="V52" s="746"/>
      <c r="W52" s="1272"/>
      <c r="X52" s="746"/>
      <c r="Y52" s="1272"/>
      <c r="Z52" s="1758"/>
      <c r="AA52" s="1486" t="s">
        <v>66</v>
      </c>
      <c r="AB52" s="1758"/>
      <c r="AC52" s="1486" t="s">
        <v>66</v>
      </c>
      <c r="AD52" s="2026" t="s">
        <v>66</v>
      </c>
      <c r="AE52" s="2162"/>
      <c r="AF52" s="2039">
        <v>1</v>
      </c>
      <c r="AG52" s="2184"/>
      <c r="AH52" s="1963" t="s">
        <v>66</v>
      </c>
      <c r="AI52" s="2162"/>
      <c r="AJ52" s="2039">
        <v>1</v>
      </c>
      <c r="AK52" s="2183" t="s">
        <v>24</v>
      </c>
      <c r="AL52" s="1963" t="s">
        <v>66</v>
      </c>
      <c r="AM52" s="2011"/>
      <c r="AN52" s="2039">
        <v>1</v>
      </c>
      <c r="AO52" s="2188"/>
      <c r="AP52" s="2189" t="s">
        <v>66</v>
      </c>
      <c r="AQ52" s="293"/>
      <c r="AR52" s="1503">
        <v>1</v>
      </c>
      <c r="AS52" s="1509" t="s">
        <v>24</v>
      </c>
      <c r="AT52" s="746"/>
      <c r="AU52" s="1272"/>
      <c r="AV52" s="746"/>
      <c r="AW52" s="1272"/>
      <c r="AX52" s="1758"/>
      <c r="AY52" s="1486" t="s">
        <v>66</v>
      </c>
      <c r="AZ52" s="1758"/>
      <c r="BA52" s="1486" t="s">
        <v>66</v>
      </c>
      <c r="BB52" s="1365"/>
      <c r="BC52" s="2119" t="s">
        <v>506</v>
      </c>
      <c r="BE52" s="496"/>
      <c r="BF52" s="496" t="str">
        <f>IF(T52="","",T52)</f>
        <v/>
      </c>
      <c r="BG52" s="496"/>
      <c r="BH52" s="496"/>
    </row>
    <row customHeight="1" ht="11.25">
      <c r="A53" s="1380"/>
      <c r="B53" s="1380"/>
      <c r="C53" s="1380"/>
      <c r="D53" s="1380"/>
      <c r="E53" s="2090"/>
      <c r="F53" s="2090"/>
      <c r="G53" s="2090"/>
      <c r="H53" s="2090"/>
      <c r="I53" s="2092"/>
      <c r="J53" s="2092"/>
      <c r="K53" s="2091"/>
      <c r="L53" s="1381"/>
      <c r="P53" s="2093"/>
      <c r="Q53" s="2093"/>
      <c r="R53" s="345"/>
      <c r="S53" s="2167"/>
      <c r="T53" s="2186"/>
      <c r="U53" s="280"/>
      <c r="V53" s="1410"/>
      <c r="W53" s="1513"/>
      <c r="X53" s="1410"/>
      <c r="Y53" s="1513"/>
      <c r="Z53" s="1410"/>
      <c r="AA53" s="1410"/>
      <c r="AB53" s="1410"/>
      <c r="AC53" s="1410"/>
      <c r="AD53" s="2027"/>
      <c r="AE53" s="2162"/>
      <c r="AF53" s="2039"/>
      <c r="AG53" s="2184"/>
      <c r="AH53" s="1963"/>
      <c r="AI53" s="2162"/>
      <c r="AJ53" s="2039"/>
      <c r="AK53" s="2183"/>
      <c r="AL53" s="1963"/>
      <c r="AM53" s="2019"/>
      <c r="AN53" s="2039"/>
      <c r="AO53" s="2188"/>
      <c r="AP53" s="2190"/>
      <c r="AQ53" s="300"/>
      <c r="AR53" s="413"/>
      <c r="AS53" s="413" t="s">
        <v>507</v>
      </c>
      <c r="AT53" s="1410"/>
      <c r="AU53" s="1513"/>
      <c r="AV53" s="1410"/>
      <c r="AW53" s="1513"/>
      <c r="AX53" s="1410"/>
      <c r="AY53" s="1410"/>
      <c r="AZ53" s="1410"/>
      <c r="BA53" s="1410"/>
      <c r="BB53" s="1414"/>
      <c r="BC53" s="2120"/>
      <c r="BE53" s="496"/>
      <c r="BF53" s="496"/>
      <c r="BG53" s="496"/>
      <c r="BH53" s="496"/>
    </row>
    <row customHeight="1" ht="11.25">
      <c r="A54" s="1380" t="s">
        <v>281</v>
      </c>
      <c r="B54" s="1380"/>
      <c r="C54" s="1380"/>
      <c r="D54" s="1380"/>
      <c r="E54" s="2090"/>
      <c r="F54" s="2090"/>
      <c r="G54" s="2090"/>
      <c r="H54" s="2090"/>
      <c r="I54" s="2092"/>
      <c r="J54" s="2092"/>
      <c r="K54" s="2091"/>
      <c r="L54" s="1381"/>
      <c r="P54" s="2093"/>
      <c r="Q54" s="2093"/>
      <c r="R54" s="345"/>
      <c r="S54" s="2167"/>
      <c r="T54" s="2186"/>
      <c r="U54" s="280"/>
      <c r="V54" s="1410"/>
      <c r="W54" s="1513"/>
      <c r="X54" s="1410"/>
      <c r="Y54" s="1513"/>
      <c r="Z54" s="1410"/>
      <c r="AA54" s="1410"/>
      <c r="AB54" s="1410"/>
      <c r="AC54" s="1410"/>
      <c r="AD54" s="2027"/>
      <c r="AE54" s="2162"/>
      <c r="AF54" s="2039"/>
      <c r="AG54" s="2184"/>
      <c r="AH54" s="1963"/>
      <c r="AI54" s="2162"/>
      <c r="AJ54" s="2039"/>
      <c r="AK54" s="2183"/>
      <c r="AL54" s="1963"/>
      <c r="AM54" s="300"/>
      <c r="AN54" s="1517"/>
      <c r="AO54" s="1517" t="s">
        <v>527</v>
      </c>
      <c r="AP54" s="413"/>
      <c r="AQ54" s="413"/>
      <c r="AR54" s="413"/>
      <c r="AS54" s="1410"/>
      <c r="AT54" s="1410"/>
      <c r="AU54" s="1513"/>
      <c r="AV54" s="1410"/>
      <c r="AW54" s="1513"/>
      <c r="AX54" s="1410"/>
      <c r="AY54" s="1410"/>
      <c r="AZ54" s="1410"/>
      <c r="BA54" s="1410"/>
      <c r="BB54" s="1414"/>
      <c r="BC54" s="2120"/>
      <c r="BE54" s="496"/>
      <c r="BF54" s="496"/>
      <c r="BG54" s="496"/>
      <c r="BH54" s="496"/>
    </row>
    <row customHeight="1" ht="11.25">
      <c r="A55" s="1380" t="s">
        <v>281</v>
      </c>
      <c r="B55" s="1380"/>
      <c r="C55" s="1380"/>
      <c r="D55" s="1380"/>
      <c r="E55" s="2090"/>
      <c r="F55" s="2090"/>
      <c r="G55" s="2090"/>
      <c r="H55" s="2090"/>
      <c r="I55" s="2092"/>
      <c r="J55" s="2092"/>
      <c r="K55" s="2091"/>
      <c r="L55" s="1381"/>
      <c r="P55" s="2093"/>
      <c r="Q55" s="2093"/>
      <c r="R55" s="345"/>
      <c r="S55" s="2167"/>
      <c r="T55" s="2186"/>
      <c r="U55" s="280"/>
      <c r="V55" s="1410"/>
      <c r="W55" s="1513"/>
      <c r="X55" s="1410"/>
      <c r="Y55" s="1513"/>
      <c r="Z55" s="1410"/>
      <c r="AA55" s="1410"/>
      <c r="AB55" s="1410"/>
      <c r="AC55" s="1410"/>
      <c r="AD55" s="2027"/>
      <c r="AE55" s="2162"/>
      <c r="AF55" s="2039"/>
      <c r="AG55" s="2184"/>
      <c r="AH55" s="1963"/>
      <c r="AI55" s="274"/>
      <c r="AJ55" s="412"/>
      <c r="AK55" s="295" t="s">
        <v>528</v>
      </c>
      <c r="AL55" s="1410"/>
      <c r="AM55" s="1410"/>
      <c r="AN55" s="1410"/>
      <c r="AO55" s="1410"/>
      <c r="AP55" s="1410"/>
      <c r="AQ55" s="1410"/>
      <c r="AR55" s="1410"/>
      <c r="AS55" s="1410"/>
      <c r="AT55" s="1410"/>
      <c r="AU55" s="1513"/>
      <c r="AV55" s="1410"/>
      <c r="AW55" s="1513"/>
      <c r="AX55" s="1410"/>
      <c r="AY55" s="1410"/>
      <c r="AZ55" s="1410"/>
      <c r="BA55" s="1410"/>
      <c r="BB55" s="1414"/>
      <c r="BC55" s="2120"/>
      <c r="BE55" s="496"/>
      <c r="BF55" s="496"/>
      <c r="BG55" s="496"/>
      <c r="BH55" s="496"/>
    </row>
    <row customHeight="1" ht="11.25">
      <c r="A56" s="1380" t="s">
        <v>281</v>
      </c>
      <c r="B56" s="1380" t="s">
        <v>282</v>
      </c>
      <c r="C56" s="1380" t="s">
        <v>283</v>
      </c>
      <c r="D56" s="1380" t="s">
        <v>534</v>
      </c>
      <c r="E56" s="2090"/>
      <c r="F56" s="2090"/>
      <c r="G56" s="2090"/>
      <c r="H56" s="2090"/>
      <c r="I56" s="2092"/>
      <c r="J56" s="2092"/>
      <c r="K56" s="2091"/>
      <c r="L56" s="1381"/>
      <c r="P56" s="2093"/>
      <c r="Q56" s="2093"/>
      <c r="R56" s="345"/>
      <c r="S56" s="2168"/>
      <c r="T56" s="2187"/>
      <c r="U56" s="280"/>
      <c r="V56" s="1410"/>
      <c r="W56" s="1411" t="str">
        <f>Z52&amp;"-"&amp;AB52</f>
        <v>-</v>
      </c>
      <c r="X56" s="1410"/>
      <c r="Y56" s="1411" t="str">
        <f>AB52&amp;"-"&amp;AD52</f>
        <v>-да</v>
      </c>
      <c r="Z56" s="1410"/>
      <c r="AA56" s="1410"/>
      <c r="AB56" s="1410"/>
      <c r="AC56" s="1410"/>
      <c r="AD56" s="1968"/>
      <c r="AE56" s="294"/>
      <c r="AF56" s="296"/>
      <c r="AG56" s="413" t="s">
        <v>510</v>
      </c>
      <c r="AH56" s="1410"/>
      <c r="AI56" s="1410"/>
      <c r="AJ56" s="1410"/>
      <c r="AK56" s="1410"/>
      <c r="AL56" s="1410"/>
      <c r="AM56" s="1410"/>
      <c r="AN56" s="1410"/>
      <c r="AO56" s="1410"/>
      <c r="AP56" s="1410"/>
      <c r="AQ56" s="1410"/>
      <c r="AR56" s="1410"/>
      <c r="AS56" s="1410"/>
      <c r="AT56" s="1410"/>
      <c r="AU56" s="1411" t="str">
        <f>AX52&amp;"-"&amp;AZ52</f>
        <v>-</v>
      </c>
      <c r="AV56" s="1410"/>
      <c r="AW56" s="1411" t="str">
        <f>AZ52&amp;"-"&amp;BB52</f>
        <v>-</v>
      </c>
      <c r="AX56" s="1410"/>
      <c r="AY56" s="1410"/>
      <c r="AZ56" s="1410"/>
      <c r="BA56" s="1410"/>
      <c r="BB56" s="1413" t="str">
        <f>BE52&amp;"-"&amp;BG52</f>
        <v>-</v>
      </c>
      <c r="BC56" s="2120"/>
      <c r="BE56" s="496"/>
      <c r="BF56" s="496" t="str">
        <f>IF(T56="","",T56)</f>
        <v/>
      </c>
      <c r="BG56" s="496"/>
      <c r="BH56" s="496"/>
    </row>
    <row customHeight="1" ht="11.25">
      <c r="A57" s="1380" t="s">
        <v>281</v>
      </c>
      <c r="B57" s="1380" t="s">
        <v>282</v>
      </c>
      <c r="C57" s="1380" t="s">
        <v>283</v>
      </c>
      <c r="D57" s="1380" t="s">
        <v>534</v>
      </c>
      <c r="E57" s="2090"/>
      <c r="F57" s="2090"/>
      <c r="G57" s="2090"/>
      <c r="H57" s="2090"/>
      <c r="I57" s="2092"/>
      <c r="J57" s="2091"/>
      <c r="K57" s="1380"/>
      <c r="L57" s="1381"/>
      <c r="P57" s="2093"/>
      <c r="Q57" s="2093"/>
      <c r="R57" s="344"/>
      <c r="S57" s="1295"/>
      <c r="T57" s="268" t="s">
        <v>474</v>
      </c>
      <c r="U57" s="359"/>
      <c r="V57" s="359"/>
      <c r="W57" s="359"/>
      <c r="X57" s="359"/>
      <c r="Y57" s="359"/>
      <c r="Z57" s="359"/>
      <c r="AA57" s="359"/>
      <c r="AB57" s="359"/>
      <c r="AC57" s="311"/>
      <c r="AD57" s="1522"/>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1"/>
      <c r="BE57" s="496"/>
      <c r="BF57" s="496" t="str">
        <f>IF(T57="","",T57)</f>
        <v>Добавить строку</v>
      </c>
      <c r="BG57" s="496"/>
      <c r="BH57" s="496"/>
    </row>
    <row s="1667" customFormat="1" customHeight="1" ht="0">
      <c r="A58" s="1360" t="s">
        <v>281</v>
      </c>
      <c r="B58" s="1360" t="s">
        <v>282</v>
      </c>
      <c r="C58" s="1360" t="s">
        <v>283</v>
      </c>
      <c r="D58" s="1360" t="s">
        <v>534</v>
      </c>
      <c r="E58" s="2090"/>
      <c r="F58" s="2090"/>
      <c r="G58" s="2090"/>
      <c r="H58" s="2090"/>
      <c r="I58" s="2091"/>
      <c r="J58" s="1360"/>
      <c r="K58" s="1360"/>
      <c r="L58" s="1363"/>
      <c r="M58" s="506"/>
      <c r="N58" s="506"/>
      <c r="O58" s="506"/>
      <c r="P58" s="2093"/>
      <c r="Q58" s="1498"/>
      <c r="R58" s="344"/>
      <c r="S58" s="1403"/>
      <c r="T58" s="1404"/>
      <c r="U58" s="1405"/>
      <c r="V58" s="1405"/>
      <c r="W58" s="1405"/>
      <c r="X58" s="1405"/>
      <c r="Y58" s="1405"/>
      <c r="Z58" s="1405"/>
      <c r="AA58" s="1405"/>
      <c r="AB58" s="1405"/>
      <c r="AC58" s="1405"/>
      <c r="AD58" s="1405"/>
      <c r="AE58" s="1405"/>
      <c r="AF58" s="1405"/>
      <c r="AG58" s="1405"/>
      <c r="AH58" s="1405"/>
      <c r="AI58" s="1405"/>
      <c r="AJ58" s="1405"/>
      <c r="AK58" s="1405"/>
      <c r="AL58" s="1405"/>
      <c r="AM58" s="1405"/>
      <c r="AN58" s="1405"/>
      <c r="AO58" s="1405"/>
      <c r="AP58" s="1405"/>
      <c r="AQ58" s="1405"/>
      <c r="AR58" s="1405"/>
      <c r="AS58" s="1405"/>
      <c r="AT58" s="1405"/>
      <c r="AU58" s="1405"/>
      <c r="AV58" s="1405"/>
      <c r="AW58" s="1405"/>
      <c r="AX58" s="1405"/>
      <c r="AY58" s="1405"/>
      <c r="AZ58" s="1405"/>
      <c r="BA58" s="1405"/>
      <c r="BB58" s="1405"/>
      <c r="BC58" s="1406"/>
      <c r="BE58" s="496"/>
      <c r="BF58" s="496" t="str">
        <f>IF(T58="","",T58)</f>
        <v/>
      </c>
      <c r="BG58" s="496"/>
      <c r="BH58" s="496"/>
    </row>
    <row s="1667" customFormat="1" customHeight="1" ht="0">
      <c r="A59" s="1360" t="s">
        <v>281</v>
      </c>
      <c r="B59" s="1360" t="s">
        <v>282</v>
      </c>
      <c r="C59" s="1360" t="s">
        <v>283</v>
      </c>
      <c r="D59" s="1360" t="s">
        <v>534</v>
      </c>
      <c r="E59" s="2090"/>
      <c r="F59" s="2090"/>
      <c r="G59" s="2090"/>
      <c r="H59" s="2089"/>
      <c r="I59" s="1360"/>
      <c r="J59" s="1360"/>
      <c r="K59" s="1360"/>
      <c r="L59" s="1363"/>
      <c r="M59" s="1332"/>
      <c r="N59" s="1332"/>
      <c r="O59" s="514"/>
      <c r="P59" s="376"/>
      <c r="Q59" s="1361"/>
      <c r="R59" s="1418"/>
      <c r="S59" s="1403"/>
      <c r="T59" s="1404"/>
      <c r="U59" s="1405"/>
      <c r="V59" s="1405"/>
      <c r="W59" s="1405"/>
      <c r="X59" s="1405"/>
      <c r="Y59" s="1405"/>
      <c r="Z59" s="1405"/>
      <c r="AA59" s="1405"/>
      <c r="AB59" s="1405"/>
      <c r="AC59" s="1405"/>
      <c r="AD59" s="1405"/>
      <c r="AE59" s="1405"/>
      <c r="AF59" s="1405"/>
      <c r="AG59" s="1405"/>
      <c r="AH59" s="1405"/>
      <c r="AI59" s="1405"/>
      <c r="AJ59" s="1405"/>
      <c r="AK59" s="1405"/>
      <c r="AL59" s="1405"/>
      <c r="AM59" s="1405"/>
      <c r="AN59" s="1405"/>
      <c r="AO59" s="1405"/>
      <c r="AP59" s="1405"/>
      <c r="AQ59" s="1405"/>
      <c r="AR59" s="1405"/>
      <c r="AS59" s="1405"/>
      <c r="AT59" s="1405"/>
      <c r="AU59" s="1405"/>
      <c r="AV59" s="1405"/>
      <c r="AW59" s="1405"/>
      <c r="AX59" s="1405"/>
      <c r="AY59" s="1405"/>
      <c r="AZ59" s="1405"/>
      <c r="BA59" s="1405"/>
      <c r="BB59" s="1405"/>
      <c r="BC59" s="1406"/>
      <c r="BE59" s="496"/>
      <c r="BF59" s="496" t="str">
        <f>IF(T59="","",T59)</f>
        <v/>
      </c>
      <c r="BG59" s="496"/>
      <c r="BH59" s="496"/>
    </row>
    <row s="1667" customFormat="1" customHeight="1" ht="0">
      <c r="A60" s="1360" t="s">
        <v>281</v>
      </c>
      <c r="B60" s="1360" t="s">
        <v>282</v>
      </c>
      <c r="C60" s="1360" t="s">
        <v>283</v>
      </c>
      <c r="D60" s="1331"/>
      <c r="E60" s="2090"/>
      <c r="F60" s="2090"/>
      <c r="G60" s="2089"/>
      <c r="H60" s="1331"/>
      <c r="I60" s="1331"/>
      <c r="J60" s="1331"/>
      <c r="K60" s="1331"/>
      <c r="L60" s="1511"/>
      <c r="M60" s="1332"/>
      <c r="N60" s="1332"/>
      <c r="P60" s="1333"/>
      <c r="Q60" s="1334"/>
      <c r="R60" s="1333"/>
      <c r="S60" s="1339"/>
      <c r="T60" s="1342"/>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V60" s="1341"/>
      <c r="AW60" s="1341"/>
      <c r="AX60" s="1341"/>
      <c r="AY60" s="1341"/>
      <c r="AZ60" s="1341"/>
      <c r="BA60" s="1341"/>
      <c r="BB60" s="1341"/>
      <c r="BC60" s="1341"/>
      <c r="BE60" s="783"/>
      <c r="BF60" s="783" t="str">
        <f>IF(T60="","",T60)</f>
        <v/>
      </c>
      <c r="BG60" s="783"/>
      <c r="BH60" s="783"/>
    </row>
    <row s="1667" customFormat="1" customHeight="1" ht="0">
      <c r="A61" s="1360" t="s">
        <v>281</v>
      </c>
      <c r="B61" s="1360" t="s">
        <v>282</v>
      </c>
      <c r="C61" s="1331"/>
      <c r="D61" s="1331"/>
      <c r="E61" s="2090"/>
      <c r="F61" s="2089"/>
      <c r="G61" s="1331"/>
      <c r="H61" s="1331"/>
      <c r="I61" s="1331"/>
      <c r="J61" s="1331"/>
      <c r="K61" s="1331"/>
      <c r="L61" s="1511"/>
      <c r="M61" s="1338"/>
      <c r="N61" s="1338"/>
      <c r="P61" s="1333"/>
      <c r="Q61" s="1334"/>
      <c r="R61" s="1333"/>
      <c r="S61" s="1339"/>
      <c r="T61" s="1342" t="s">
        <v>167</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V61" s="1341"/>
      <c r="AW61" s="1341"/>
      <c r="AX61" s="1341"/>
      <c r="AY61" s="1341"/>
      <c r="AZ61" s="1341"/>
      <c r="BA61" s="1341"/>
      <c r="BB61" s="1341"/>
      <c r="BC61" s="1341"/>
      <c r="BE61" s="783"/>
      <c r="BF61" s="783" t="str">
        <f>IF(T61="","",T61)</f>
        <v>Добавить централизованную систему для дифференциации</v>
      </c>
      <c r="BG61" s="783"/>
      <c r="BH61" s="783"/>
    </row>
    <row s="1667" customFormat="1" customHeight="1" ht="0">
      <c r="A62" s="1360" t="s">
        <v>281</v>
      </c>
      <c r="B62" s="1360"/>
      <c r="C62" s="1360"/>
      <c r="D62" s="1360"/>
      <c r="E62" s="2089"/>
      <c r="F62" s="1360"/>
      <c r="G62" s="1360"/>
      <c r="H62" s="1360"/>
      <c r="I62" s="1360"/>
      <c r="J62" s="1360"/>
      <c r="K62" s="1360"/>
      <c r="L62" s="1363"/>
      <c r="M62" s="1338"/>
      <c r="N62" s="1338"/>
      <c r="O62" s="514"/>
      <c r="P62" s="376"/>
      <c r="Q62" s="1361"/>
      <c r="R62" s="376"/>
      <c r="S62" s="1339"/>
      <c r="T62" s="1342" t="s">
        <v>168</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V62" s="1341"/>
      <c r="AW62" s="1341"/>
      <c r="AX62" s="1341"/>
      <c r="AY62" s="1341"/>
      <c r="AZ62" s="1341"/>
      <c r="BA62" s="1341"/>
      <c r="BB62" s="1341"/>
      <c r="BC62" s="1341"/>
      <c r="BE62" s="496"/>
      <c r="BF62" s="496" t="str">
        <f>IF(T62="","",T62)</f>
        <v>Добавить территорию для дифференциации</v>
      </c>
      <c r="BG62" s="496"/>
      <c r="BH62" s="496"/>
    </row>
    <row s="1667" customFormat="1" customHeight="1" ht="0">
      <c r="A63" s="1331"/>
      <c r="B63" s="1331"/>
      <c r="C63" s="1331"/>
      <c r="D63" s="1331"/>
      <c r="E63" s="1360"/>
      <c r="F63" s="1331"/>
      <c r="G63" s="1331"/>
      <c r="H63" s="1331"/>
      <c r="I63" s="1331"/>
      <c r="J63" s="1331"/>
      <c r="K63" s="1331"/>
      <c r="L63" s="1511"/>
      <c r="M63" s="1338"/>
      <c r="N63" s="1338"/>
      <c r="P63" s="1333"/>
      <c r="Q63" s="1334"/>
      <c r="R63" s="1333"/>
      <c r="S63" s="1339"/>
      <c r="T63" s="1342" t="s">
        <v>180</v>
      </c>
      <c r="U63" s="1341"/>
      <c r="V63" s="1341"/>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R63" s="1341"/>
      <c r="AS63" s="1341"/>
      <c r="AT63" s="1341"/>
      <c r="AU63" s="1341"/>
      <c r="AV63" s="1341"/>
      <c r="AW63" s="1341"/>
      <c r="AX63" s="1341"/>
      <c r="AY63" s="1341"/>
      <c r="AZ63" s="1341"/>
      <c r="BA63" s="1341"/>
      <c r="BB63" s="1341"/>
      <c r="BC63" s="1341"/>
      <c r="BE63" s="783"/>
      <c r="BF63" s="783" t="str">
        <f>IF(T63="","",T63)</f>
        <v>Добавить наименование тарифа</v>
      </c>
      <c r="BG63" s="783"/>
      <c r="BH63" s="783"/>
    </row>
    <row customHeight="1" ht="11.25">
      <c r="M64" s="1155"/>
      <c r="N64" s="1155"/>
      <c r="O64" s="533"/>
      <c r="P64" s="1155"/>
      <c r="Q64" s="1155"/>
      <c r="R64" s="1150"/>
      <c r="S64" s="1150"/>
      <c r="BD64" s="1150"/>
      <c r="BE64" s="1150"/>
      <c r="BF64" s="1150"/>
      <c r="BG64" s="1150"/>
      <c r="BH64" s="1150"/>
    </row>
    <row customHeight="1" ht="14.25">
      <c r="O65" s="533"/>
      <c r="S65" s="1260"/>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088"/>
      <c r="AU65" s="2088"/>
      <c r="AV65" s="2088"/>
      <c r="AW65" s="2088"/>
      <c r="AX65" s="2088"/>
      <c r="AY65" s="2088"/>
      <c r="AZ65" s="2088"/>
      <c r="BA65" s="2088"/>
      <c r="BB65" s="2088"/>
      <c r="BC65" s="2088"/>
    </row>
    <row customHeight="1" ht="14.25">
      <c r="O66" s="533"/>
      <c r="T66" s="1497"/>
      <c r="U66" s="1497"/>
      <c r="V66" s="1497"/>
      <c r="W66" s="1497"/>
      <c r="X66" s="1497"/>
      <c r="Y66" s="1497"/>
      <c r="Z66" s="1497"/>
      <c r="AA66" s="1497"/>
      <c r="AB66" s="1497"/>
      <c r="AC66" s="1497"/>
      <c r="AD66" s="1497"/>
      <c r="AE66" s="1497"/>
      <c r="AF66" s="1497"/>
      <c r="AG66" s="1497"/>
      <c r="AH66" s="1497"/>
      <c r="AI66" s="1497"/>
      <c r="AJ66" s="1497"/>
      <c r="AK66" s="1497"/>
      <c r="AL66" s="1497"/>
      <c r="AM66" s="1497"/>
      <c r="AN66" s="1497"/>
      <c r="AO66" s="1497"/>
      <c r="AP66" s="1497"/>
      <c r="AQ66" s="1497"/>
      <c r="AR66" s="1497"/>
      <c r="AS66" s="1497"/>
      <c r="AT66" s="1497"/>
      <c r="AU66" s="1497"/>
      <c r="AV66" s="1497"/>
      <c r="AW66" s="1497"/>
      <c r="AX66" s="1497"/>
      <c r="AY66" s="1497"/>
      <c r="AZ66" s="1497"/>
      <c r="BA66" s="1497"/>
      <c r="BB66" s="1497"/>
      <c r="BC66" s="1497"/>
    </row>
    <row customHeight="1" ht="14.25">
      <c r="O67" s="533"/>
      <c r="S67" s="1260"/>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088"/>
      <c r="AU67" s="2088"/>
      <c r="AV67" s="2088"/>
      <c r="AW67" s="2088"/>
      <c r="AX67" s="2088"/>
      <c r="AY67" s="2088"/>
      <c r="AZ67" s="2088"/>
      <c r="BA67" s="2088"/>
      <c r="BB67" s="2088"/>
      <c r="BC67" s="2088"/>
    </row>
    <row customHeight="1" ht="14.25">
      <c r="O68" s="53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86B5D1-F81B-42DC-F2E6-49DCFD9E87D4}"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122</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404</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405</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535</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536</v>
      </c>
      <c r="AM4" s="496"/>
      <c r="AN4" s="496" t="str">
        <f>IF(T4="","",T4)</f>
        <v>Наименование централизованной системы горячего водоснабжения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490</v>
      </c>
      <c r="U5" s="280"/>
      <c r="V5" s="2176"/>
      <c r="W5" s="2177"/>
      <c r="X5" s="2177"/>
      <c r="Y5" s="2177"/>
      <c r="Z5" s="2177"/>
      <c r="AA5" s="2177"/>
      <c r="AB5" s="2178"/>
      <c r="AC5" s="2179"/>
      <c r="AD5" s="2180"/>
      <c r="AE5" s="2180"/>
      <c r="AF5" s="2180"/>
      <c r="AG5" s="2180"/>
      <c r="AH5" s="2180"/>
      <c r="AI5" s="2180"/>
      <c r="AJ5" s="2181"/>
      <c r="AK5" s="1273" t="s">
        <v>491</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413</v>
      </c>
      <c r="P6" s="2093"/>
      <c r="Q6" s="2093">
        <v>1</v>
      </c>
      <c r="R6" s="345"/>
      <c r="S6" s="1510">
        <f>$J6</f>
      </c>
      <c r="T6" s="267" t="s">
        <v>414</v>
      </c>
      <c r="U6" s="280"/>
      <c r="V6" s="2077"/>
      <c r="W6" s="2078"/>
      <c r="X6" s="2078"/>
      <c r="Y6" s="2078"/>
      <c r="Z6" s="2078"/>
      <c r="AA6" s="2078"/>
      <c r="AB6" s="2079"/>
      <c r="AC6" s="2077"/>
      <c r="AD6" s="2078"/>
      <c r="AE6" s="2078"/>
      <c r="AF6" s="2078"/>
      <c r="AG6" s="2078"/>
      <c r="AH6" s="2078"/>
      <c r="AI6" s="2078"/>
      <c r="AJ6" s="2079"/>
      <c r="AK6" s="1324" t="s">
        <v>492</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66</v>
      </c>
      <c r="AA7" s="2094"/>
      <c r="AB7" s="1963" t="s">
        <v>66</v>
      </c>
      <c r="AC7" s="746"/>
      <c r="AD7" s="746"/>
      <c r="AE7" s="1272"/>
      <c r="AF7" s="2094"/>
      <c r="AG7" s="1963" t="s">
        <v>66</v>
      </c>
      <c r="AH7" s="2096"/>
      <c r="AI7" s="1963" t="s">
        <v>66</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493</v>
      </c>
      <c r="U9" s="359"/>
      <c r="V9" s="359"/>
      <c r="W9" s="359"/>
      <c r="X9" s="359"/>
      <c r="Y9" s="359"/>
      <c r="Z9" s="359"/>
      <c r="AA9" s="359"/>
      <c r="AB9" s="359"/>
      <c r="AC9" s="359"/>
      <c r="AD9" s="359"/>
      <c r="AE9" s="359"/>
      <c r="AF9" s="359"/>
      <c r="AG9" s="359"/>
      <c r="AH9" s="359"/>
      <c r="AI9" s="359"/>
      <c r="AJ9" s="359"/>
      <c r="AK9" s="1273" t="s">
        <v>494</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419</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495</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167</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168</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66</v>
      </c>
      <c r="AH15" s="2087"/>
      <c r="AI15" s="2086" t="s">
        <v>66</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421</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422</v>
      </c>
      <c r="P20" s="1379"/>
      <c r="Q20" s="1459"/>
      <c r="R20" s="1459"/>
      <c r="S20" s="724"/>
      <c r="T20" s="1155" t="s">
        <v>423</v>
      </c>
      <c r="Z20" s="166" t="s">
        <v>424</v>
      </c>
      <c r="AB20" s="166" t="s">
        <v>425</v>
      </c>
      <c r="AC20" s="1155" t="s">
        <v>423</v>
      </c>
      <c r="AG20" s="166" t="s">
        <v>426</v>
      </c>
      <c r="AI20" s="166" t="s">
        <v>425</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29.25">
      <c r="Q24" s="368"/>
      <c r="R24" s="368"/>
      <c r="S24" s="2122"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ООО "ПРОМ ИМПУЛЬС"</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Комитет по тарифам Санкт-Петербурга</v>
      </c>
      <c r="W27" s="2082"/>
      <c r="X27" s="2082"/>
      <c r="Y27" s="2082"/>
      <c r="Z27" s="2082"/>
      <c r="AA27" s="2082"/>
      <c r="AB27" s="314"/>
      <c r="AC27" s="2082" t="str">
        <f>IF(TITLE_NAME_OR_PR_CHANGE="",IF(TITLE_NAME_OR_PR="","",TITLE_NAME_OR_PR),TITLE_NAME_OR_PR_CHANGE)</f>
        <v>Комитет по тарифам Санкт-Петербурга</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427</v>
      </c>
      <c r="T28" s="2080"/>
      <c r="U28" s="1389"/>
      <c r="V28" s="2081" t="str">
        <f>IF(TITLE_DATE_PR_CHANGE="",IF(TITLE_DATE_PR="","",TITLE_DATE_PR),TITLE_DATE_PR_CHANGE)</f>
        <v>45268.58207175926</v>
      </c>
      <c r="W28" s="2081"/>
      <c r="X28" s="2081"/>
      <c r="Y28" s="2081"/>
      <c r="Z28" s="2081"/>
      <c r="AA28" s="2081"/>
      <c r="AB28" s="314"/>
      <c r="AC28" s="2081" t="str">
        <f>IF(TITLE_DATE_PR_CHANGE="",IF(TITLE_DATE_PR="","",TITLE_DATE_PR),TITLE_DATE_PR_CHANGE)</f>
        <v>45268.58207175926</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428</v>
      </c>
      <c r="T29" s="2080"/>
      <c r="U29" s="1389"/>
      <c r="V29" s="2082" t="str">
        <f>IF(TITLE_NUMBER_PR_CHANGE="",IF(TITLE_NUMBER_PR="","",TITLE_NUMBER_PR),TITLE_NUMBER_PR_CHANGE)</f>
        <v>237-р</v>
      </c>
      <c r="W29" s="2082"/>
      <c r="X29" s="2082"/>
      <c r="Y29" s="2082"/>
      <c r="Z29" s="2082"/>
      <c r="AA29" s="2082"/>
      <c r="AB29" s="314"/>
      <c r="AC29" s="2082" t="str">
        <f>IF(TITLE_NUMBER_PR_CHANGE="",IF(TITLE_NUMBER_PR="","",TITLE_NUMBER_PR),TITLE_NUMBER_PR_CHANGE)</f>
        <v>237-р</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https://www.gov.spb.ru/gov/otrasl/energ_kom/inform_/standarty-raskrytiya-informacii-komitetom/teplo/</v>
      </c>
      <c r="W30" s="2082"/>
      <c r="X30" s="2082"/>
      <c r="Y30" s="2082"/>
      <c r="Z30" s="2082"/>
      <c r="AA30" s="2082"/>
      <c r="AB30" s="314"/>
      <c r="AC30" s="2082" t="str">
        <f>IF(TITLE_IST_PUB_CHANGE="",IF(TITLE_IST_PUB="","",TITLE_IST_PUB),TITLE_IST_PUB_CHANGE)</f>
        <v>https://www.gov.spb.ru/gov/otrasl/energ_kom/inform_/standarty-raskrytiya-informacii-komitetom/teplo/</v>
      </c>
      <c r="AD30" s="2082"/>
      <c r="AE30" s="2082"/>
      <c r="AF30" s="2082"/>
      <c r="AG30" s="2082"/>
      <c r="AH30" s="2082"/>
      <c r="AI30" s="314"/>
      <c r="AJ30" s="314"/>
      <c r="AK30" s="261"/>
      <c r="AL30" s="360"/>
      <c r="AM30" s="360"/>
      <c r="AN30" s="360"/>
      <c r="AO30" s="360"/>
      <c r="AP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hidden="1">
      <c r="A32" s="1385"/>
      <c r="B32" s="1385"/>
      <c r="C32" s="1385"/>
      <c r="D32" s="1385"/>
      <c r="E32" s="1385"/>
      <c r="F32" s="1385"/>
      <c r="G32" s="1385"/>
      <c r="H32" s="1385"/>
      <c r="I32" s="1385"/>
      <c r="J32" s="1385"/>
      <c r="K32" s="1385"/>
      <c r="L32" s="1386"/>
      <c r="M32" s="1385"/>
      <c r="N32" s="1385"/>
      <c r="O32" s="1385"/>
      <c r="S32" s="2080" t="s">
        <v>429</v>
      </c>
      <c r="T32" s="2080"/>
      <c r="U32" s="1389"/>
      <c r="V32" s="2081" t="str">
        <f>IF(TITLE_DATE_PR_CHANGE="",IF(TITLE_DATE_PR="","",TITLE_DATE_PR),TITLE_DATE_PR_CHANGE)</f>
        <v>45268.58207175926</v>
      </c>
      <c r="W32" s="2081"/>
      <c r="X32" s="2081"/>
      <c r="Y32" s="2081"/>
      <c r="Z32" s="2081"/>
      <c r="AA32" s="2081"/>
      <c r="AB32" s="314"/>
      <c r="AC32" s="2081" t="str">
        <f>IF(TITLE_DATE_PR_CHANGE="",IF(TITLE_DATE_PR="","",TITLE_DATE_PR),TITLE_DATE_PR_CHANGE)</f>
        <v>45268.58207175926</v>
      </c>
      <c r="AD32" s="2081"/>
      <c r="AE32" s="2081"/>
      <c r="AF32" s="2081"/>
      <c r="AG32" s="2081"/>
      <c r="AH32" s="2081"/>
      <c r="AI32" s="314"/>
      <c r="AJ32" s="314"/>
      <c r="AK32" s="261"/>
      <c r="AL32" s="360"/>
      <c r="AM32" s="360"/>
      <c r="AN32" s="360"/>
      <c r="AO32" s="360"/>
      <c r="AP32" s="360"/>
    </row>
    <row s="1877" customFormat="1" customHeight="1" ht="18.75" hidden="1">
      <c r="A33" s="1385"/>
      <c r="B33" s="1385"/>
      <c r="C33" s="1385"/>
      <c r="D33" s="1385"/>
      <c r="E33" s="1385"/>
      <c r="F33" s="1385"/>
      <c r="G33" s="1385"/>
      <c r="H33" s="1385"/>
      <c r="I33" s="1385"/>
      <c r="J33" s="1385"/>
      <c r="K33" s="1385"/>
      <c r="L33" s="1386"/>
      <c r="M33" s="1385"/>
      <c r="N33" s="1385"/>
      <c r="O33" s="1385"/>
      <c r="S33" s="2080" t="s">
        <v>430</v>
      </c>
      <c r="T33" s="2080"/>
      <c r="U33" s="1389"/>
      <c r="V33" s="2082" t="str">
        <f>IF(TITLE_NUMBER_PR_CHANGE="",IF(TITLE_NUMBER_PR="","",TITLE_NUMBER_PR),TITLE_NUMBER_PR_CHANGE)</f>
        <v>237-р</v>
      </c>
      <c r="W33" s="2082"/>
      <c r="X33" s="2082"/>
      <c r="Y33" s="2082"/>
      <c r="Z33" s="2082"/>
      <c r="AA33" s="2082"/>
      <c r="AB33" s="314"/>
      <c r="AC33" s="2082" t="str">
        <f>IF(TITLE_NUMBER_PR_CHANGE="",IF(TITLE_NUMBER_PR="","",TITLE_NUMBER_PR),TITLE_NUMBER_PR_CHANGE)</f>
        <v>237-р</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431</v>
      </c>
      <c r="AC34" s="314"/>
      <c r="AD34" s="314"/>
      <c r="AE34" s="314"/>
      <c r="AF34" s="314"/>
      <c r="AG34" s="314"/>
      <c r="AH34" s="314"/>
      <c r="AI34" s="259" t="s">
        <v>431</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305</v>
      </c>
      <c r="T36" s="1953"/>
      <c r="U36" s="1953"/>
      <c r="V36" s="1953"/>
      <c r="W36" s="1953"/>
      <c r="X36" s="1953"/>
      <c r="Y36" s="1953"/>
      <c r="Z36" s="1953"/>
      <c r="AA36" s="1953"/>
      <c r="AB36" s="1953"/>
      <c r="AC36" s="1953"/>
      <c r="AD36" s="1953"/>
      <c r="AE36" s="1953"/>
      <c r="AF36" s="1953"/>
      <c r="AG36" s="1953"/>
      <c r="AH36" s="1953"/>
      <c r="AI36" s="1953"/>
      <c r="AJ36" s="1953"/>
      <c r="AK36" s="1953" t="s">
        <v>306</v>
      </c>
    </row>
    <row customHeight="1" ht="14.25">
      <c r="Q37" s="368"/>
      <c r="R37" s="368"/>
      <c r="S37" s="2107" t="s">
        <v>87</v>
      </c>
      <c r="T37" s="2044" t="s">
        <v>432</v>
      </c>
      <c r="U37" s="281"/>
      <c r="V37" s="2108" t="s">
        <v>433</v>
      </c>
      <c r="W37" s="2109"/>
      <c r="X37" s="2109"/>
      <c r="Y37" s="2109"/>
      <c r="Z37" s="2109"/>
      <c r="AA37" s="2110"/>
      <c r="AB37" s="2111" t="s">
        <v>434</v>
      </c>
      <c r="AC37" s="2108" t="s">
        <v>433</v>
      </c>
      <c r="AD37" s="2109"/>
      <c r="AE37" s="2109"/>
      <c r="AF37" s="2109"/>
      <c r="AG37" s="2109"/>
      <c r="AH37" s="2110"/>
      <c r="AI37" s="2111" t="s">
        <v>435</v>
      </c>
      <c r="AJ37" s="2114" t="s">
        <v>436</v>
      </c>
      <c r="AK37" s="1953"/>
    </row>
    <row customHeight="1" ht="33.75">
      <c r="Q38" s="368"/>
      <c r="R38" s="368"/>
      <c r="S38" s="2107"/>
      <c r="T38" s="2044"/>
      <c r="U38" s="1026"/>
      <c r="V38" s="1500" t="s">
        <v>537</v>
      </c>
      <c r="W38" s="2100" t="s">
        <v>538</v>
      </c>
      <c r="X38" s="2102"/>
      <c r="Y38" s="2100" t="s">
        <v>440</v>
      </c>
      <c r="Z38" s="2101"/>
      <c r="AA38" s="2102"/>
      <c r="AB38" s="2112"/>
      <c r="AC38" s="1500" t="s">
        <v>537</v>
      </c>
      <c r="AD38" s="2100" t="s">
        <v>538</v>
      </c>
      <c r="AE38" s="2102"/>
      <c r="AF38" s="2100" t="s">
        <v>440</v>
      </c>
      <c r="AG38" s="2101"/>
      <c r="AH38" s="2102"/>
      <c r="AI38" s="2112"/>
      <c r="AJ38" s="2115"/>
      <c r="AK38" s="1953"/>
    </row>
    <row customHeight="1" ht="86.25">
      <c r="A39" s="1387"/>
      <c r="B39" s="1387" t="s">
        <v>134</v>
      </c>
      <c r="C39" s="1387" t="s">
        <v>135</v>
      </c>
      <c r="D39" s="1387" t="s">
        <v>136</v>
      </c>
      <c r="E39" s="1381" t="s">
        <v>441</v>
      </c>
      <c r="F39" s="1381" t="s">
        <v>442</v>
      </c>
      <c r="G39" s="1381" t="s">
        <v>443</v>
      </c>
      <c r="H39" s="1381"/>
      <c r="I39" s="1381" t="s">
        <v>497</v>
      </c>
      <c r="J39" s="1381" t="s">
        <v>446</v>
      </c>
      <c r="K39" s="1381" t="s">
        <v>498</v>
      </c>
      <c r="L39" s="1381" t="s">
        <v>422</v>
      </c>
      <c r="Q39" s="368"/>
      <c r="R39" s="368"/>
      <c r="S39" s="2107"/>
      <c r="T39" s="2044"/>
      <c r="U39" s="282"/>
      <c r="V39" s="1500" t="s">
        <v>539</v>
      </c>
      <c r="W39" s="1224" t="s">
        <v>540</v>
      </c>
      <c r="X39" s="1224" t="s">
        <v>541</v>
      </c>
      <c r="Y39" s="1506" t="s">
        <v>450</v>
      </c>
      <c r="Z39" s="2103" t="s">
        <v>451</v>
      </c>
      <c r="AA39" s="2104"/>
      <c r="AB39" s="2113"/>
      <c r="AC39" s="1500" t="s">
        <v>539</v>
      </c>
      <c r="AD39" s="1224" t="s">
        <v>540</v>
      </c>
      <c r="AE39" s="1224" t="s">
        <v>541</v>
      </c>
      <c r="AF39" s="1506" t="s">
        <v>450</v>
      </c>
      <c r="AG39" s="2103" t="s">
        <v>451</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108</v>
      </c>
      <c r="T40" s="1268" t="s">
        <v>109</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256</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122</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256</v>
      </c>
      <c r="B42" s="1380" t="s">
        <v>257</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404</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405</v>
      </c>
      <c r="AM42" s="496"/>
      <c r="AN42" s="496" t="str">
        <f>IF(T42="","",T42)</f>
        <v>Территория действия тарифа</v>
      </c>
      <c r="AO42" s="496"/>
      <c r="AP42" s="496"/>
    </row>
    <row customHeight="1" ht="23.25">
      <c r="A43" s="1380" t="s">
        <v>256</v>
      </c>
      <c r="B43" s="1380" t="s">
        <v>257</v>
      </c>
      <c r="C43" s="1380" t="s">
        <v>258</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535</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536</v>
      </c>
      <c r="AM43" s="496"/>
      <c r="AN43" s="496" t="str">
        <f>IF(T43="","",T43)</f>
        <v>Наименование централизованной системы горячего водоснабжения</v>
      </c>
      <c r="AO43" s="496"/>
      <c r="AP43" s="496"/>
    </row>
    <row customHeight="1" ht="23.25">
      <c r="A44" s="1380" t="s">
        <v>256</v>
      </c>
      <c r="B44" s="1380" t="s">
        <v>257</v>
      </c>
      <c r="C44" s="1380" t="s">
        <v>258</v>
      </c>
      <c r="D44" s="1380" t="s">
        <v>542</v>
      </c>
      <c r="E44" s="2090"/>
      <c r="F44" s="2090"/>
      <c r="G44" s="2090"/>
      <c r="H44" s="2090"/>
      <c r="I44" s="2091" t="str">
        <f>S43&amp;".1"</f>
        <v>...1</v>
      </c>
      <c r="J44" s="1380"/>
      <c r="K44" s="1380"/>
      <c r="L44" s="1381"/>
      <c r="P44" s="2093">
        <v>1</v>
      </c>
      <c r="Q44" s="1498"/>
      <c r="R44" s="344"/>
      <c r="S44" s="1510" t="str">
        <f>$I44</f>
        <v>...1</v>
      </c>
      <c r="T44" s="266" t="s">
        <v>490</v>
      </c>
      <c r="U44" s="280"/>
      <c r="V44" s="2176"/>
      <c r="W44" s="2177"/>
      <c r="X44" s="2177"/>
      <c r="Y44" s="2177"/>
      <c r="Z44" s="2177"/>
      <c r="AA44" s="2177"/>
      <c r="AB44" s="2178"/>
      <c r="AC44" s="2179"/>
      <c r="AD44" s="2180"/>
      <c r="AE44" s="2180"/>
      <c r="AF44" s="2180"/>
      <c r="AG44" s="2180"/>
      <c r="AH44" s="2180"/>
      <c r="AI44" s="2180"/>
      <c r="AJ44" s="2181"/>
      <c r="AK44" s="1273" t="s">
        <v>491</v>
      </c>
      <c r="AM44" s="496"/>
      <c r="AN44" s="496" t="str">
        <f>IF(T44="","",T44)</f>
        <v>Наименование признака дифференциации</v>
      </c>
      <c r="AO44" s="496"/>
      <c r="AP44" s="496"/>
    </row>
    <row customHeight="1" ht="23.25">
      <c r="A45" s="1380" t="s">
        <v>256</v>
      </c>
      <c r="B45" s="1380" t="s">
        <v>257</v>
      </c>
      <c r="C45" s="1380" t="s">
        <v>258</v>
      </c>
      <c r="D45" s="1380" t="s">
        <v>542</v>
      </c>
      <c r="E45" s="2090"/>
      <c r="F45" s="2090"/>
      <c r="G45" s="2090"/>
      <c r="H45" s="2090"/>
      <c r="I45" s="2092"/>
      <c r="J45" s="2091" t="str">
        <f>I44&amp;".1"</f>
        <v>...1.1</v>
      </c>
      <c r="K45" s="1380"/>
      <c r="L45" s="1381" t="s">
        <v>413</v>
      </c>
      <c r="P45" s="2093"/>
      <c r="Q45" s="2093">
        <v>1</v>
      </c>
      <c r="R45" s="345"/>
      <c r="S45" s="1510" t="str">
        <f>$J45</f>
        <v>...1.1</v>
      </c>
      <c r="T45" s="267" t="s">
        <v>414</v>
      </c>
      <c r="U45" s="280"/>
      <c r="V45" s="2077"/>
      <c r="W45" s="2078"/>
      <c r="X45" s="2078"/>
      <c r="Y45" s="2078"/>
      <c r="Z45" s="2078"/>
      <c r="AA45" s="2078"/>
      <c r="AB45" s="2079"/>
      <c r="AC45" s="2077"/>
      <c r="AD45" s="2078"/>
      <c r="AE45" s="2078"/>
      <c r="AF45" s="2078"/>
      <c r="AG45" s="2078"/>
      <c r="AH45" s="2078"/>
      <c r="AI45" s="2078"/>
      <c r="AJ45" s="2079"/>
      <c r="AK45" s="1324" t="s">
        <v>492</v>
      </c>
      <c r="AM45" s="496"/>
      <c r="AN45" s="496" t="str">
        <f>IF(T45="","",T45)</f>
        <v>Группа потребителей</v>
      </c>
      <c r="AO45" s="496"/>
      <c r="AP45" s="496"/>
    </row>
    <row customHeight="1" ht="23.25">
      <c r="A46" s="1380" t="s">
        <v>256</v>
      </c>
      <c r="B46" s="1380" t="s">
        <v>257</v>
      </c>
      <c r="C46" s="1380" t="s">
        <v>258</v>
      </c>
      <c r="D46" s="1380" t="s">
        <v>542</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66</v>
      </c>
      <c r="AA46" s="2087"/>
      <c r="AB46" s="2086" t="s">
        <v>66</v>
      </c>
      <c r="AC46" s="746"/>
      <c r="AD46" s="746"/>
      <c r="AE46" s="1272"/>
      <c r="AF46" s="2094"/>
      <c r="AG46" s="1963" t="s">
        <v>66</v>
      </c>
      <c r="AH46" s="2096"/>
      <c r="AI46" s="1963" t="s">
        <v>56</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256</v>
      </c>
      <c r="B47" s="1380" t="s">
        <v>257</v>
      </c>
      <c r="C47" s="1380" t="s">
        <v>258</v>
      </c>
      <c r="D47" s="1380" t="s">
        <v>542</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256</v>
      </c>
      <c r="B48" s="1380" t="s">
        <v>257</v>
      </c>
      <c r="C48" s="1380" t="s">
        <v>258</v>
      </c>
      <c r="D48" s="1380" t="s">
        <v>542</v>
      </c>
      <c r="E48" s="2090"/>
      <c r="F48" s="2090"/>
      <c r="G48" s="2090"/>
      <c r="H48" s="2090"/>
      <c r="I48" s="2092"/>
      <c r="J48" s="2091"/>
      <c r="K48" s="1380"/>
      <c r="L48" s="1381"/>
      <c r="P48" s="2093"/>
      <c r="Q48" s="2093"/>
      <c r="R48" s="344"/>
      <c r="S48" s="1295"/>
      <c r="T48" s="268" t="s">
        <v>493</v>
      </c>
      <c r="U48" s="359"/>
      <c r="V48" s="359"/>
      <c r="W48" s="359"/>
      <c r="X48" s="359"/>
      <c r="Y48" s="359"/>
      <c r="Z48" s="359"/>
      <c r="AA48" s="359"/>
      <c r="AB48" s="359"/>
      <c r="AC48" s="359"/>
      <c r="AD48" s="359"/>
      <c r="AE48" s="359"/>
      <c r="AF48" s="359"/>
      <c r="AG48" s="359"/>
      <c r="AH48" s="359"/>
      <c r="AI48" s="359"/>
      <c r="AJ48" s="359"/>
      <c r="AK48" s="1273" t="s">
        <v>494</v>
      </c>
      <c r="AM48" s="496"/>
      <c r="AN48" s="496" t="str">
        <f>IF(T48="","",T48)</f>
        <v>Добавить значение признака дифференциации</v>
      </c>
      <c r="AO48" s="496"/>
      <c r="AP48" s="496"/>
    </row>
    <row customHeight="1" ht="21">
      <c r="A49" s="1380" t="s">
        <v>256</v>
      </c>
      <c r="B49" s="1380" t="s">
        <v>257</v>
      </c>
      <c r="C49" s="1380" t="s">
        <v>258</v>
      </c>
      <c r="D49" s="1380" t="s">
        <v>542</v>
      </c>
      <c r="E49" s="2090"/>
      <c r="F49" s="2090"/>
      <c r="G49" s="2090"/>
      <c r="H49" s="2090"/>
      <c r="I49" s="2091"/>
      <c r="J49" s="1380"/>
      <c r="K49" s="1380"/>
      <c r="L49" s="1381"/>
      <c r="P49" s="2093"/>
      <c r="Q49" s="1498"/>
      <c r="R49" s="344"/>
      <c r="S49" s="1295"/>
      <c r="T49" s="356" t="s">
        <v>419</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256</v>
      </c>
      <c r="B50" s="1380" t="s">
        <v>257</v>
      </c>
      <c r="C50" s="1380" t="s">
        <v>258</v>
      </c>
      <c r="D50" s="1380" t="s">
        <v>542</v>
      </c>
      <c r="E50" s="2090"/>
      <c r="F50" s="2090"/>
      <c r="G50" s="2090"/>
      <c r="H50" s="2089"/>
      <c r="I50" s="1380"/>
      <c r="J50" s="1380"/>
      <c r="K50" s="1380"/>
      <c r="L50" s="1381"/>
      <c r="M50" s="1382"/>
      <c r="N50" s="1382"/>
      <c r="O50" s="533"/>
      <c r="P50" s="348"/>
      <c r="Q50" s="367"/>
      <c r="R50" s="343"/>
      <c r="S50" s="1295"/>
      <c r="T50" s="364" t="s">
        <v>495</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256</v>
      </c>
      <c r="B51" s="1360" t="s">
        <v>257</v>
      </c>
      <c r="C51" s="1331"/>
      <c r="D51" s="1331"/>
      <c r="E51" s="2090"/>
      <c r="F51" s="2089"/>
      <c r="G51" s="1331"/>
      <c r="H51" s="1331"/>
      <c r="I51" s="1331"/>
      <c r="J51" s="1331"/>
      <c r="K51" s="1331"/>
      <c r="L51" s="1511"/>
      <c r="M51" s="1338"/>
      <c r="N51" s="1338"/>
      <c r="P51" s="1333"/>
      <c r="Q51" s="1334"/>
      <c r="R51" s="1333"/>
      <c r="S51" s="1339"/>
      <c r="T51" s="1342" t="s">
        <v>167</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256</v>
      </c>
      <c r="B52" s="1360"/>
      <c r="C52" s="1360"/>
      <c r="D52" s="1360"/>
      <c r="E52" s="2089"/>
      <c r="F52" s="1360"/>
      <c r="G52" s="1360"/>
      <c r="H52" s="1360"/>
      <c r="I52" s="1360"/>
      <c r="J52" s="1360"/>
      <c r="K52" s="1360"/>
      <c r="L52" s="1363"/>
      <c r="M52" s="1338"/>
      <c r="N52" s="1338"/>
      <c r="O52" s="514"/>
      <c r="P52" s="376"/>
      <c r="Q52" s="1361"/>
      <c r="R52" s="376"/>
      <c r="S52" s="1339"/>
      <c r="T52" s="1342" t="s">
        <v>168</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180</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FE8A35-2556-737B-327D-9688A2CBAAA1}"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122</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404</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405</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535</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536</v>
      </c>
      <c r="AM4" s="496"/>
      <c r="AN4" s="496" t="str">
        <f>IF(T4="","",T4)</f>
        <v>Наименование централизованной системы горячего водоснабжения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490</v>
      </c>
      <c r="U5" s="280"/>
      <c r="V5" s="2176"/>
      <c r="W5" s="2177"/>
      <c r="X5" s="2177"/>
      <c r="Y5" s="2177"/>
      <c r="Z5" s="2177"/>
      <c r="AA5" s="2177"/>
      <c r="AB5" s="2178"/>
      <c r="AC5" s="2179"/>
      <c r="AD5" s="2180"/>
      <c r="AE5" s="2180"/>
      <c r="AF5" s="2180"/>
      <c r="AG5" s="2180"/>
      <c r="AH5" s="2180"/>
      <c r="AI5" s="2180"/>
      <c r="AJ5" s="2181"/>
      <c r="AK5" s="1273" t="s">
        <v>491</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413</v>
      </c>
      <c r="P6" s="2093"/>
      <c r="Q6" s="2093">
        <v>1</v>
      </c>
      <c r="R6" s="345"/>
      <c r="S6" s="1510">
        <f>$J6</f>
      </c>
      <c r="T6" s="267" t="s">
        <v>414</v>
      </c>
      <c r="U6" s="280"/>
      <c r="V6" s="2077"/>
      <c r="W6" s="2078"/>
      <c r="X6" s="2078"/>
      <c r="Y6" s="2078"/>
      <c r="Z6" s="2078"/>
      <c r="AA6" s="2078"/>
      <c r="AB6" s="2079"/>
      <c r="AC6" s="2077"/>
      <c r="AD6" s="2078"/>
      <c r="AE6" s="2078"/>
      <c r="AF6" s="2078"/>
      <c r="AG6" s="2078"/>
      <c r="AH6" s="2078"/>
      <c r="AI6" s="2078"/>
      <c r="AJ6" s="2079"/>
      <c r="AK6" s="1324" t="s">
        <v>492</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66</v>
      </c>
      <c r="AA7" s="2094"/>
      <c r="AB7" s="1963" t="s">
        <v>66</v>
      </c>
      <c r="AC7" s="746"/>
      <c r="AD7" s="746"/>
      <c r="AE7" s="1272"/>
      <c r="AF7" s="2094"/>
      <c r="AG7" s="1963" t="s">
        <v>66</v>
      </c>
      <c r="AH7" s="2096"/>
      <c r="AI7" s="1963" t="s">
        <v>66</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493</v>
      </c>
      <c r="U9" s="359"/>
      <c r="V9" s="359"/>
      <c r="W9" s="359"/>
      <c r="X9" s="359"/>
      <c r="Y9" s="359"/>
      <c r="Z9" s="359"/>
      <c r="AA9" s="359"/>
      <c r="AB9" s="359"/>
      <c r="AC9" s="359"/>
      <c r="AD9" s="359"/>
      <c r="AE9" s="359"/>
      <c r="AF9" s="359"/>
      <c r="AG9" s="359"/>
      <c r="AH9" s="359"/>
      <c r="AI9" s="359"/>
      <c r="AJ9" s="359"/>
      <c r="AK9" s="1273" t="s">
        <v>494</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419</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495</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167</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168</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66</v>
      </c>
      <c r="AH15" s="2087"/>
      <c r="AI15" s="2086" t="s">
        <v>66</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421</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422</v>
      </c>
      <c r="P20" s="1379"/>
      <c r="Q20" s="1459"/>
      <c r="R20" s="1459"/>
      <c r="S20" s="724"/>
      <c r="T20" s="1155" t="s">
        <v>423</v>
      </c>
      <c r="Z20" s="166" t="s">
        <v>424</v>
      </c>
      <c r="AB20" s="166" t="s">
        <v>425</v>
      </c>
      <c r="AC20" s="1155" t="s">
        <v>423</v>
      </c>
      <c r="AG20" s="166" t="s">
        <v>426</v>
      </c>
      <c r="AI20" s="166" t="s">
        <v>425</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26.25">
      <c r="Q24" s="368"/>
      <c r="R24" s="368"/>
      <c r="S24" s="2122"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ООО "ПРОМ ИМПУЛЬС"</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Комитет по тарифам Санкт-Петербурга</v>
      </c>
      <c r="W27" s="2082"/>
      <c r="X27" s="2082"/>
      <c r="Y27" s="2082"/>
      <c r="Z27" s="2082"/>
      <c r="AA27" s="2082"/>
      <c r="AB27" s="314"/>
      <c r="AC27" s="2082" t="str">
        <f>IF(TITLE_NAME_OR_PR_CHANGE="",IF(TITLE_NAME_OR_PR="","",TITLE_NAME_OR_PR),TITLE_NAME_OR_PR_CHANGE)</f>
        <v>Комитет по тарифам Санкт-Петербурга</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427</v>
      </c>
      <c r="T28" s="2080"/>
      <c r="U28" s="1389"/>
      <c r="V28" s="2081" t="str">
        <f>IF(TITLE_DATE_PR_CHANGE="",IF(TITLE_DATE_PR="","",TITLE_DATE_PR),TITLE_DATE_PR_CHANGE)</f>
        <v>45268.58207175926</v>
      </c>
      <c r="W28" s="2081"/>
      <c r="X28" s="2081"/>
      <c r="Y28" s="2081"/>
      <c r="Z28" s="2081"/>
      <c r="AA28" s="2081"/>
      <c r="AB28" s="314"/>
      <c r="AC28" s="2081" t="str">
        <f>IF(TITLE_DATE_PR_CHANGE="",IF(TITLE_DATE_PR="","",TITLE_DATE_PR),TITLE_DATE_PR_CHANGE)</f>
        <v>45268.58207175926</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428</v>
      </c>
      <c r="T29" s="2080"/>
      <c r="U29" s="1389"/>
      <c r="V29" s="2082" t="str">
        <f>IF(TITLE_NUMBER_PR_CHANGE="",IF(TITLE_NUMBER_PR="","",TITLE_NUMBER_PR),TITLE_NUMBER_PR_CHANGE)</f>
        <v>237-р</v>
      </c>
      <c r="W29" s="2082"/>
      <c r="X29" s="2082"/>
      <c r="Y29" s="2082"/>
      <c r="Z29" s="2082"/>
      <c r="AA29" s="2082"/>
      <c r="AB29" s="314"/>
      <c r="AC29" s="2082" t="str">
        <f>IF(TITLE_NUMBER_PR_CHANGE="",IF(TITLE_NUMBER_PR="","",TITLE_NUMBER_PR),TITLE_NUMBER_PR_CHANGE)</f>
        <v>237-р</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https://www.gov.spb.ru/gov/otrasl/energ_kom/inform_/standarty-raskrytiya-informacii-komitetom/teplo/</v>
      </c>
      <c r="W30" s="2082"/>
      <c r="X30" s="2082"/>
      <c r="Y30" s="2082"/>
      <c r="Z30" s="2082"/>
      <c r="AA30" s="2082"/>
      <c r="AB30" s="314"/>
      <c r="AC30" s="2082" t="str">
        <f>IF(TITLE_IST_PUB_CHANGE="",IF(TITLE_IST_PUB="","",TITLE_IST_PUB),TITLE_IST_PUB_CHANGE)</f>
        <v>https://www.gov.spb.ru/gov/otrasl/energ_kom/inform_/standarty-raskrytiya-informacii-komitetom/teplo/</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429</v>
      </c>
      <c r="T32" s="2080"/>
      <c r="U32" s="1389"/>
      <c r="V32" s="2081" t="str">
        <f>IF(TITLE_DATE_PR_CHANGE="",IF(TITLE_DATE_PR="","",TITLE_DATE_PR),TITLE_DATE_PR_CHANGE)</f>
        <v>45268.58207175926</v>
      </c>
      <c r="W32" s="2081"/>
      <c r="X32" s="2081"/>
      <c r="Y32" s="2081"/>
      <c r="Z32" s="2081"/>
      <c r="AA32" s="2081"/>
      <c r="AB32" s="314"/>
      <c r="AC32" s="2081" t="str">
        <f>IF(TITLE_DATE_PR_CHANGE="",IF(TITLE_DATE_PR="","",TITLE_DATE_PR),TITLE_DATE_PR_CHANGE)</f>
        <v>45268.58207175926</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430</v>
      </c>
      <c r="T33" s="2080"/>
      <c r="U33" s="1389"/>
      <c r="V33" s="2082" t="str">
        <f>IF(TITLE_NUMBER_PR_CHANGE="",IF(TITLE_NUMBER_PR="","",TITLE_NUMBER_PR),TITLE_NUMBER_PR_CHANGE)</f>
        <v>237-р</v>
      </c>
      <c r="W33" s="2082"/>
      <c r="X33" s="2082"/>
      <c r="Y33" s="2082"/>
      <c r="Z33" s="2082"/>
      <c r="AA33" s="2082"/>
      <c r="AB33" s="314"/>
      <c r="AC33" s="2082" t="str">
        <f>IF(TITLE_NUMBER_PR_CHANGE="",IF(TITLE_NUMBER_PR="","",TITLE_NUMBER_PR),TITLE_NUMBER_PR_CHANGE)</f>
        <v>237-р</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431</v>
      </c>
      <c r="AC34" s="314"/>
      <c r="AD34" s="314"/>
      <c r="AE34" s="314"/>
      <c r="AF34" s="314"/>
      <c r="AG34" s="314"/>
      <c r="AH34" s="314"/>
      <c r="AI34" s="259" t="s">
        <v>431</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305</v>
      </c>
      <c r="T36" s="1953"/>
      <c r="U36" s="1953"/>
      <c r="V36" s="1953"/>
      <c r="W36" s="1953"/>
      <c r="X36" s="1953"/>
      <c r="Y36" s="1953"/>
      <c r="Z36" s="1953"/>
      <c r="AA36" s="1953"/>
      <c r="AB36" s="1953"/>
      <c r="AC36" s="1953"/>
      <c r="AD36" s="1953"/>
      <c r="AE36" s="1953"/>
      <c r="AF36" s="1953"/>
      <c r="AG36" s="1953"/>
      <c r="AH36" s="1953"/>
      <c r="AI36" s="1953"/>
      <c r="AJ36" s="1953"/>
      <c r="AK36" s="1953" t="s">
        <v>306</v>
      </c>
    </row>
    <row customHeight="1" ht="14.25">
      <c r="Q37" s="368"/>
      <c r="R37" s="368"/>
      <c r="S37" s="2107" t="s">
        <v>87</v>
      </c>
      <c r="T37" s="2044" t="s">
        <v>432</v>
      </c>
      <c r="U37" s="281"/>
      <c r="V37" s="2108" t="s">
        <v>433</v>
      </c>
      <c r="W37" s="2109"/>
      <c r="X37" s="2109"/>
      <c r="Y37" s="2109"/>
      <c r="Z37" s="2109"/>
      <c r="AA37" s="2110"/>
      <c r="AB37" s="2111" t="s">
        <v>434</v>
      </c>
      <c r="AC37" s="2108" t="s">
        <v>433</v>
      </c>
      <c r="AD37" s="2109"/>
      <c r="AE37" s="2109"/>
      <c r="AF37" s="2109"/>
      <c r="AG37" s="2109"/>
      <c r="AH37" s="2110"/>
      <c r="AI37" s="2111" t="s">
        <v>435</v>
      </c>
      <c r="AJ37" s="2114" t="s">
        <v>436</v>
      </c>
      <c r="AK37" s="1953"/>
    </row>
    <row customHeight="1" ht="33.75">
      <c r="Q38" s="368"/>
      <c r="R38" s="368"/>
      <c r="S38" s="2107"/>
      <c r="T38" s="2044"/>
      <c r="U38" s="1026"/>
      <c r="V38" s="1500" t="s">
        <v>537</v>
      </c>
      <c r="W38" s="2100" t="s">
        <v>538</v>
      </c>
      <c r="X38" s="2102"/>
      <c r="Y38" s="2100" t="s">
        <v>440</v>
      </c>
      <c r="Z38" s="2101"/>
      <c r="AA38" s="2102"/>
      <c r="AB38" s="2112"/>
      <c r="AC38" s="1500" t="s">
        <v>537</v>
      </c>
      <c r="AD38" s="2100" t="s">
        <v>538</v>
      </c>
      <c r="AE38" s="2102"/>
      <c r="AF38" s="2100" t="s">
        <v>440</v>
      </c>
      <c r="AG38" s="2101"/>
      <c r="AH38" s="2102"/>
      <c r="AI38" s="2112"/>
      <c r="AJ38" s="2115"/>
      <c r="AK38" s="1953"/>
    </row>
    <row customHeight="1" ht="86.25">
      <c r="A39" s="1387"/>
      <c r="B39" s="1387" t="s">
        <v>134</v>
      </c>
      <c r="C39" s="1387" t="s">
        <v>135</v>
      </c>
      <c r="D39" s="1387" t="s">
        <v>136</v>
      </c>
      <c r="E39" s="1381" t="s">
        <v>441</v>
      </c>
      <c r="F39" s="1381" t="s">
        <v>442</v>
      </c>
      <c r="G39" s="1381" t="s">
        <v>443</v>
      </c>
      <c r="H39" s="1381"/>
      <c r="I39" s="1381" t="s">
        <v>497</v>
      </c>
      <c r="J39" s="1381" t="s">
        <v>446</v>
      </c>
      <c r="K39" s="1381" t="s">
        <v>498</v>
      </c>
      <c r="L39" s="1381" t="s">
        <v>422</v>
      </c>
      <c r="Q39" s="368"/>
      <c r="R39" s="368"/>
      <c r="S39" s="2107"/>
      <c r="T39" s="2044"/>
      <c r="U39" s="282"/>
      <c r="V39" s="1500" t="s">
        <v>539</v>
      </c>
      <c r="W39" s="1224" t="s">
        <v>540</v>
      </c>
      <c r="X39" s="1224" t="s">
        <v>541</v>
      </c>
      <c r="Y39" s="1506" t="s">
        <v>450</v>
      </c>
      <c r="Z39" s="2103" t="s">
        <v>451</v>
      </c>
      <c r="AA39" s="2104"/>
      <c r="AB39" s="2113"/>
      <c r="AC39" s="1500" t="s">
        <v>539</v>
      </c>
      <c r="AD39" s="1224" t="s">
        <v>540</v>
      </c>
      <c r="AE39" s="1224" t="s">
        <v>541</v>
      </c>
      <c r="AF39" s="1506" t="s">
        <v>450</v>
      </c>
      <c r="AG39" s="2103" t="s">
        <v>451</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108</v>
      </c>
      <c r="T40" s="1268" t="s">
        <v>109</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256</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122</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256</v>
      </c>
      <c r="B42" s="1380" t="s">
        <v>257</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404</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405</v>
      </c>
      <c r="AM42" s="496"/>
      <c r="AN42" s="496" t="str">
        <f>IF(T42="","",T42)</f>
        <v>Территория действия тарифа</v>
      </c>
      <c r="AO42" s="496"/>
      <c r="AP42" s="496"/>
    </row>
    <row customHeight="1" ht="23.25">
      <c r="A43" s="1380" t="s">
        <v>256</v>
      </c>
      <c r="B43" s="1380" t="s">
        <v>257</v>
      </c>
      <c r="C43" s="1380" t="s">
        <v>258</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535</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536</v>
      </c>
      <c r="AM43" s="496"/>
      <c r="AN43" s="496" t="str">
        <f>IF(T43="","",T43)</f>
        <v>Наименование централизованной системы горячего водоснабжения</v>
      </c>
      <c r="AO43" s="496"/>
      <c r="AP43" s="496"/>
    </row>
    <row customHeight="1" ht="23.25">
      <c r="A44" s="1380" t="s">
        <v>256</v>
      </c>
      <c r="B44" s="1380" t="s">
        <v>257</v>
      </c>
      <c r="C44" s="1380" t="s">
        <v>258</v>
      </c>
      <c r="D44" s="1380" t="s">
        <v>542</v>
      </c>
      <c r="E44" s="2090"/>
      <c r="F44" s="2090"/>
      <c r="G44" s="2090"/>
      <c r="H44" s="2090"/>
      <c r="I44" s="2091" t="str">
        <f>S43&amp;".1"</f>
        <v>...1</v>
      </c>
      <c r="J44" s="1380"/>
      <c r="K44" s="1380"/>
      <c r="L44" s="1381"/>
      <c r="P44" s="2093">
        <v>1</v>
      </c>
      <c r="Q44" s="1498"/>
      <c r="R44" s="344"/>
      <c r="S44" s="1510" t="str">
        <f>$I44</f>
        <v>...1</v>
      </c>
      <c r="T44" s="266" t="s">
        <v>490</v>
      </c>
      <c r="U44" s="280"/>
      <c r="V44" s="2176"/>
      <c r="W44" s="2177"/>
      <c r="X44" s="2177"/>
      <c r="Y44" s="2177"/>
      <c r="Z44" s="2177"/>
      <c r="AA44" s="2177"/>
      <c r="AB44" s="2178"/>
      <c r="AC44" s="2179"/>
      <c r="AD44" s="2180"/>
      <c r="AE44" s="2180"/>
      <c r="AF44" s="2180"/>
      <c r="AG44" s="2180"/>
      <c r="AH44" s="2180"/>
      <c r="AI44" s="2180"/>
      <c r="AJ44" s="2181"/>
      <c r="AK44" s="1273" t="s">
        <v>491</v>
      </c>
      <c r="AM44" s="496"/>
      <c r="AN44" s="496" t="str">
        <f>IF(T44="","",T44)</f>
        <v>Наименование признака дифференциации</v>
      </c>
      <c r="AO44" s="496"/>
      <c r="AP44" s="496"/>
    </row>
    <row customHeight="1" ht="23.25">
      <c r="A45" s="1380" t="s">
        <v>256</v>
      </c>
      <c r="B45" s="1380" t="s">
        <v>257</v>
      </c>
      <c r="C45" s="1380" t="s">
        <v>258</v>
      </c>
      <c r="D45" s="1380" t="s">
        <v>542</v>
      </c>
      <c r="E45" s="2090"/>
      <c r="F45" s="2090"/>
      <c r="G45" s="2090"/>
      <c r="H45" s="2090"/>
      <c r="I45" s="2092"/>
      <c r="J45" s="2091" t="str">
        <f>I44&amp;".1"</f>
        <v>...1.1</v>
      </c>
      <c r="K45" s="1380"/>
      <c r="L45" s="1381" t="s">
        <v>413</v>
      </c>
      <c r="P45" s="2093"/>
      <c r="Q45" s="2093">
        <v>1</v>
      </c>
      <c r="R45" s="345"/>
      <c r="S45" s="1510" t="str">
        <f>$J45</f>
        <v>...1.1</v>
      </c>
      <c r="T45" s="267" t="s">
        <v>414</v>
      </c>
      <c r="U45" s="280"/>
      <c r="V45" s="2077"/>
      <c r="W45" s="2078"/>
      <c r="X45" s="2078"/>
      <c r="Y45" s="2078"/>
      <c r="Z45" s="2078"/>
      <c r="AA45" s="2078"/>
      <c r="AB45" s="2079"/>
      <c r="AC45" s="2077"/>
      <c r="AD45" s="2078"/>
      <c r="AE45" s="2078"/>
      <c r="AF45" s="2078"/>
      <c r="AG45" s="2078"/>
      <c r="AH45" s="2078"/>
      <c r="AI45" s="2078"/>
      <c r="AJ45" s="2079"/>
      <c r="AK45" s="1324" t="s">
        <v>492</v>
      </c>
      <c r="AM45" s="496"/>
      <c r="AN45" s="496" t="str">
        <f>IF(T45="","",T45)</f>
        <v>Группа потребителей</v>
      </c>
      <c r="AO45" s="496"/>
      <c r="AP45" s="496"/>
    </row>
    <row customHeight="1" ht="23.25">
      <c r="A46" s="1380" t="s">
        <v>256</v>
      </c>
      <c r="B46" s="1380" t="s">
        <v>257</v>
      </c>
      <c r="C46" s="1380" t="s">
        <v>258</v>
      </c>
      <c r="D46" s="1380" t="s">
        <v>542</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66</v>
      </c>
      <c r="AA46" s="2087"/>
      <c r="AB46" s="2086" t="s">
        <v>66</v>
      </c>
      <c r="AC46" s="746"/>
      <c r="AD46" s="746"/>
      <c r="AE46" s="1272"/>
      <c r="AF46" s="2094"/>
      <c r="AG46" s="1963" t="s">
        <v>66</v>
      </c>
      <c r="AH46" s="2096"/>
      <c r="AI46" s="1963" t="s">
        <v>56</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256</v>
      </c>
      <c r="B47" s="1380" t="s">
        <v>257</v>
      </c>
      <c r="C47" s="1380" t="s">
        <v>258</v>
      </c>
      <c r="D47" s="1380" t="s">
        <v>542</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256</v>
      </c>
      <c r="B48" s="1380" t="s">
        <v>257</v>
      </c>
      <c r="C48" s="1380" t="s">
        <v>258</v>
      </c>
      <c r="D48" s="1380" t="s">
        <v>542</v>
      </c>
      <c r="E48" s="2090"/>
      <c r="F48" s="2090"/>
      <c r="G48" s="2090"/>
      <c r="H48" s="2090"/>
      <c r="I48" s="2092"/>
      <c r="J48" s="2091"/>
      <c r="K48" s="1380"/>
      <c r="L48" s="1381"/>
      <c r="P48" s="2093"/>
      <c r="Q48" s="2093"/>
      <c r="R48" s="344"/>
      <c r="S48" s="1295"/>
      <c r="T48" s="268" t="s">
        <v>493</v>
      </c>
      <c r="U48" s="359"/>
      <c r="V48" s="359"/>
      <c r="W48" s="359"/>
      <c r="X48" s="359"/>
      <c r="Y48" s="359"/>
      <c r="Z48" s="359"/>
      <c r="AA48" s="359"/>
      <c r="AB48" s="359"/>
      <c r="AC48" s="359"/>
      <c r="AD48" s="359"/>
      <c r="AE48" s="359"/>
      <c r="AF48" s="359"/>
      <c r="AG48" s="359"/>
      <c r="AH48" s="359"/>
      <c r="AI48" s="359"/>
      <c r="AJ48" s="359"/>
      <c r="AK48" s="1273" t="s">
        <v>494</v>
      </c>
      <c r="AM48" s="496"/>
      <c r="AN48" s="496" t="str">
        <f>IF(T48="","",T48)</f>
        <v>Добавить значение признака дифференциации</v>
      </c>
      <c r="AO48" s="496"/>
      <c r="AP48" s="496"/>
    </row>
    <row customHeight="1" ht="21">
      <c r="A49" s="1380" t="s">
        <v>256</v>
      </c>
      <c r="B49" s="1380" t="s">
        <v>257</v>
      </c>
      <c r="C49" s="1380" t="s">
        <v>258</v>
      </c>
      <c r="D49" s="1380" t="s">
        <v>542</v>
      </c>
      <c r="E49" s="2090"/>
      <c r="F49" s="2090"/>
      <c r="G49" s="2090"/>
      <c r="H49" s="2090"/>
      <c r="I49" s="2091"/>
      <c r="J49" s="1380"/>
      <c r="K49" s="1380"/>
      <c r="L49" s="1381"/>
      <c r="P49" s="2093"/>
      <c r="Q49" s="1498"/>
      <c r="R49" s="344"/>
      <c r="S49" s="1295"/>
      <c r="T49" s="356" t="s">
        <v>419</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256</v>
      </c>
      <c r="B50" s="1380" t="s">
        <v>257</v>
      </c>
      <c r="C50" s="1380" t="s">
        <v>258</v>
      </c>
      <c r="D50" s="1380" t="s">
        <v>542</v>
      </c>
      <c r="E50" s="2090"/>
      <c r="F50" s="2090"/>
      <c r="G50" s="2090"/>
      <c r="H50" s="2089"/>
      <c r="I50" s="1380"/>
      <c r="J50" s="1380"/>
      <c r="K50" s="1380"/>
      <c r="L50" s="1381"/>
      <c r="M50" s="1382"/>
      <c r="N50" s="1382"/>
      <c r="O50" s="533"/>
      <c r="P50" s="348"/>
      <c r="Q50" s="367"/>
      <c r="R50" s="343"/>
      <c r="S50" s="1295"/>
      <c r="T50" s="364" t="s">
        <v>495</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256</v>
      </c>
      <c r="B51" s="1360" t="s">
        <v>257</v>
      </c>
      <c r="C51" s="1331"/>
      <c r="D51" s="1331"/>
      <c r="E51" s="2090"/>
      <c r="F51" s="2089"/>
      <c r="G51" s="1331"/>
      <c r="H51" s="1331"/>
      <c r="I51" s="1331"/>
      <c r="J51" s="1331"/>
      <c r="K51" s="1331"/>
      <c r="L51" s="1511"/>
      <c r="M51" s="1338"/>
      <c r="N51" s="1338"/>
      <c r="P51" s="1333"/>
      <c r="Q51" s="1334"/>
      <c r="R51" s="1333"/>
      <c r="S51" s="1339"/>
      <c r="T51" s="1342" t="s">
        <v>167</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256</v>
      </c>
      <c r="B52" s="1360"/>
      <c r="C52" s="1360"/>
      <c r="D52" s="1360"/>
      <c r="E52" s="2089"/>
      <c r="F52" s="1360"/>
      <c r="G52" s="1360"/>
      <c r="H52" s="1360"/>
      <c r="I52" s="1360"/>
      <c r="J52" s="1360"/>
      <c r="K52" s="1360"/>
      <c r="L52" s="1363"/>
      <c r="M52" s="1338"/>
      <c r="N52" s="1338"/>
      <c r="O52" s="514"/>
      <c r="P52" s="376"/>
      <c r="Q52" s="1361"/>
      <c r="R52" s="376"/>
      <c r="S52" s="1339"/>
      <c r="T52" s="1342" t="s">
        <v>168</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180</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31A52B-749C-6086-B759-5E4895C3ABC7}"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3" width="11.57421875" hidden="1" customWidth="1"/>
    <col min="2" max="2" style="1383" width="11.00390625" hidden="1" customWidth="1"/>
    <col min="3" max="3" style="1383" width="10.57421875" hidden="1"/>
    <col min="4" max="4" style="1383" width="12.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5" style="1660" width="21.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2" style="1660" width="3.7109375" customWidth="1"/>
    <col min="33" max="33" style="1660" width="24.7109375" customWidth="1"/>
    <col min="34" max="36" style="1660" width="3.7109375" customWidth="1"/>
    <col min="37" max="37" style="1660" width="24.7109375" customWidth="1"/>
    <col min="38" max="40" style="1660" width="3.7109375" customWidth="1"/>
    <col min="41" max="41" style="1660" width="18.8515625" customWidth="1"/>
    <col min="42" max="44" style="1660" width="3.7109375" customWidth="1"/>
    <col min="45" max="45" style="1660" width="18.8515625" customWidth="1"/>
    <col min="46" max="49" style="1660" width="21.7109375" customWidth="1"/>
    <col min="50" max="50" style="1660" width="11.7109375" customWidth="1"/>
    <col min="51" max="51" style="1660" width="3.7109375" customWidth="1"/>
    <col min="52" max="52" style="1660" width="11.7109375" customWidth="1"/>
    <col min="53" max="53" style="1660" width="8.57421875" hidden="1" customWidth="1"/>
    <col min="54" max="54" style="1660" width="4.7109375" customWidth="1"/>
    <col min="55" max="55" style="1660" width="115.7109375" customWidth="1"/>
    <col min="56" max="57" style="1667" width="10.57421875"/>
    <col min="58" max="58" style="1667" width="11.140625" customWidth="1"/>
    <col min="59" max="60" style="1667" width="10.57421875"/>
  </cols>
  <sheetData>
    <row customHeight="1" ht="14.25" hidden="1">
      <c r="W1" s="315"/>
      <c r="Y1" s="315"/>
      <c r="Z1" s="315"/>
      <c r="AW1" s="315"/>
      <c r="AX1" s="315"/>
    </row>
    <row customHeight="1" ht="21" hidden="1">
      <c r="A2" s="1380"/>
      <c r="B2" s="1380"/>
      <c r="C2" s="1380"/>
      <c r="D2" s="1380"/>
      <c r="E2" s="2089">
        <v>1</v>
      </c>
      <c r="F2" s="1380"/>
      <c r="G2" s="1380"/>
      <c r="H2" s="1380"/>
      <c r="I2" s="1380"/>
      <c r="J2" s="1380"/>
      <c r="K2" s="1380"/>
      <c r="L2" s="1381"/>
      <c r="M2" s="1382"/>
      <c r="N2" s="1382"/>
      <c r="O2" s="1382"/>
      <c r="P2" s="1426"/>
      <c r="Q2" s="867"/>
      <c r="R2" s="343"/>
      <c r="S2" s="1510">
        <f>INDEX(PT_DIFFERENTIATION_NUM_NTAR,MATCH(A2,PT_DIFFERENTIATION_NTAR_ID,0))</f>
      </c>
      <c r="T2" s="278" t="s">
        <v>122</v>
      </c>
      <c r="U2" s="280"/>
      <c r="V2" s="2084"/>
      <c r="W2" s="2084"/>
      <c r="X2" s="2084"/>
      <c r="Y2" s="2084"/>
      <c r="Z2" s="2084"/>
      <c r="AA2" s="2084"/>
      <c r="AB2" s="2084"/>
      <c r="AC2" s="2085"/>
      <c r="AD2" s="2083">
        <f>INDEX(PT_DIFFERENTIATION_NTAR,MATCH(A2,PT_DIFFERENTIATION_NTAR_ID,0))</f>
      </c>
      <c r="AE2" s="2084"/>
      <c r="AF2" s="2084"/>
      <c r="AG2" s="2084"/>
      <c r="AH2" s="2084"/>
      <c r="AI2" s="2084"/>
      <c r="AJ2" s="2084"/>
      <c r="AK2" s="2084"/>
      <c r="AL2" s="2084"/>
      <c r="AM2" s="2084"/>
      <c r="AN2" s="2084"/>
      <c r="AO2" s="2084"/>
      <c r="AP2" s="2084"/>
      <c r="AQ2" s="2084"/>
      <c r="AR2" s="2084"/>
      <c r="AS2" s="2084"/>
      <c r="AT2" s="2084"/>
      <c r="AU2" s="2084"/>
      <c r="AV2" s="2084"/>
      <c r="AW2" s="2084"/>
      <c r="AX2" s="2084"/>
      <c r="AY2" s="2084"/>
      <c r="AZ2" s="2084"/>
      <c r="BA2" s="2084"/>
      <c r="BB2" s="2085"/>
      <c r="BC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0"/>
      <c r="B3" s="1380"/>
      <c r="C3" s="1380"/>
      <c r="D3" s="1380"/>
      <c r="E3" s="2090"/>
      <c r="F3" s="2089">
        <v>1</v>
      </c>
      <c r="G3" s="1380"/>
      <c r="H3" s="1380"/>
      <c r="I3" s="1380"/>
      <c r="J3" s="1380"/>
      <c r="K3" s="1380"/>
      <c r="L3" s="1381"/>
      <c r="M3" s="1382"/>
      <c r="N3" s="1382"/>
      <c r="O3" s="1382"/>
      <c r="P3" s="1427"/>
      <c r="Q3" s="1428"/>
      <c r="R3" s="341"/>
      <c r="S3" s="1510">
        <f>INDEX(PT_DIFFERENTIATION_NUM_TER,MATCH(B3,PT_DIFFERENTIATION_TER_ID,0))</f>
      </c>
      <c r="T3" s="290" t="s">
        <v>404</v>
      </c>
      <c r="U3" s="280"/>
      <c r="V3" s="2084"/>
      <c r="W3" s="2084"/>
      <c r="X3" s="2084"/>
      <c r="Y3" s="2084"/>
      <c r="Z3" s="2084"/>
      <c r="AA3" s="2084"/>
      <c r="AB3" s="2084"/>
      <c r="AC3" s="2085"/>
      <c r="AD3" s="2083">
        <f>INDEX(PT_DIFFERENTIATION_TER,MATCH(B3,PT_DIFFERENTIATION_TER_ID,0))</f>
      </c>
      <c r="AE3" s="2084"/>
      <c r="AF3" s="2084"/>
      <c r="AG3" s="2084"/>
      <c r="AH3" s="2084"/>
      <c r="AI3" s="2084"/>
      <c r="AJ3" s="2084"/>
      <c r="AK3" s="2084"/>
      <c r="AL3" s="2084"/>
      <c r="AM3" s="2084"/>
      <c r="AN3" s="2084"/>
      <c r="AO3" s="2084"/>
      <c r="AP3" s="2084"/>
      <c r="AQ3" s="2084"/>
      <c r="AR3" s="2084"/>
      <c r="AS3" s="2084"/>
      <c r="AT3" s="2084"/>
      <c r="AU3" s="2084"/>
      <c r="AV3" s="2084"/>
      <c r="AW3" s="2084"/>
      <c r="AX3" s="2084"/>
      <c r="AY3" s="2084"/>
      <c r="AZ3" s="2084"/>
      <c r="BA3" s="2084"/>
      <c r="BB3" s="2085"/>
      <c r="BC3" s="1273" t="s">
        <v>405</v>
      </c>
      <c r="BE3" s="496"/>
      <c r="BF3" s="496" t="str">
        <f>IF(T3="","",T3)</f>
        <v>Территория действия тарифа</v>
      </c>
      <c r="BG3" s="496"/>
      <c r="BH3" s="496"/>
    </row>
    <row customHeight="1" ht="33.75" hidden="1">
      <c r="A4" s="1380"/>
      <c r="B4" s="1380"/>
      <c r="C4" s="1380"/>
      <c r="D4" s="1380"/>
      <c r="E4" s="2090"/>
      <c r="F4" s="2090"/>
      <c r="G4" s="2089">
        <v>1</v>
      </c>
      <c r="H4" s="1380"/>
      <c r="I4" s="1380"/>
      <c r="J4" s="1380"/>
      <c r="K4" s="1380"/>
      <c r="L4" s="1381"/>
      <c r="M4" s="1382"/>
      <c r="N4" s="1382"/>
      <c r="O4" s="1382"/>
      <c r="P4" s="1429"/>
      <c r="Q4" s="1428"/>
      <c r="R4" s="341"/>
      <c r="S4" s="1510">
        <f>INDEX(PT_DIFFERENTIATION_NUM_CS,MATCH(C4,PT_DIFFERENTIATION_CS_ID,0))</f>
      </c>
      <c r="T4" s="291" t="s">
        <v>535</v>
      </c>
      <c r="U4" s="280"/>
      <c r="V4" s="2084"/>
      <c r="W4" s="2084"/>
      <c r="X4" s="2084"/>
      <c r="Y4" s="2084"/>
      <c r="Z4" s="2084"/>
      <c r="AA4" s="2084"/>
      <c r="AB4" s="2084"/>
      <c r="AC4" s="2085"/>
      <c r="AD4" s="2083">
        <f>INDEX(PT_DIFFERENTIATION_CS,MATCH(C4,PT_DIFFERENTIATION_CS_ID,0))</f>
      </c>
      <c r="AE4" s="2084"/>
      <c r="AF4" s="2084"/>
      <c r="AG4" s="2084"/>
      <c r="AH4" s="2084"/>
      <c r="AI4" s="2084"/>
      <c r="AJ4" s="2084"/>
      <c r="AK4" s="2084"/>
      <c r="AL4" s="2084"/>
      <c r="AM4" s="2084"/>
      <c r="AN4" s="2084"/>
      <c r="AO4" s="2084"/>
      <c r="AP4" s="2084"/>
      <c r="AQ4" s="2084"/>
      <c r="AR4" s="2084"/>
      <c r="AS4" s="2084"/>
      <c r="AT4" s="2084"/>
      <c r="AU4" s="2084"/>
      <c r="AV4" s="2084"/>
      <c r="AW4" s="2084"/>
      <c r="AX4" s="2084"/>
      <c r="AY4" s="2084"/>
      <c r="AZ4" s="2084"/>
      <c r="BA4" s="2084"/>
      <c r="BB4" s="2085"/>
      <c r="BC4" s="1273" t="s">
        <v>536</v>
      </c>
      <c r="BE4" s="496"/>
      <c r="BF4" s="496" t="str">
        <f>IF(T4="","",T4)</f>
        <v>Наименование централизованной системы горячего водоснабжения</v>
      </c>
      <c r="BG4" s="496"/>
      <c r="BH4" s="496"/>
    </row>
    <row s="1667" customFormat="1" customHeight="1" ht="14.25" hidden="1">
      <c r="A5" s="1360"/>
      <c r="B5" s="1360"/>
      <c r="C5" s="1360"/>
      <c r="D5" s="1360"/>
      <c r="E5" s="2090"/>
      <c r="F5" s="2090"/>
      <c r="G5" s="2090"/>
      <c r="H5" s="2089">
        <v>1</v>
      </c>
      <c r="I5" s="1360"/>
      <c r="J5" s="1360"/>
      <c r="K5" s="1360"/>
      <c r="L5" s="1363"/>
      <c r="M5" s="1332"/>
      <c r="N5" s="1332"/>
      <c r="O5" s="1332"/>
      <c r="P5" s="1514"/>
      <c r="Q5" s="1515"/>
      <c r="R5" s="345"/>
      <c r="S5" s="1037"/>
      <c r="T5" s="1516"/>
      <c r="U5" s="1401"/>
      <c r="V5" s="2130"/>
      <c r="W5" s="2130"/>
      <c r="X5" s="2130"/>
      <c r="Y5" s="2130"/>
      <c r="Z5" s="2130"/>
      <c r="AA5" s="2130"/>
      <c r="AB5" s="2130"/>
      <c r="AC5" s="2131"/>
      <c r="AD5" s="2129"/>
      <c r="AE5" s="2130"/>
      <c r="AF5" s="2130"/>
      <c r="AG5" s="2130"/>
      <c r="AH5" s="2130"/>
      <c r="AI5" s="2130"/>
      <c r="AJ5" s="2130"/>
      <c r="AK5" s="2130"/>
      <c r="AL5" s="2130"/>
      <c r="AM5" s="2130"/>
      <c r="AN5" s="2130"/>
      <c r="AO5" s="2130"/>
      <c r="AP5" s="2130"/>
      <c r="AQ5" s="2130"/>
      <c r="AR5" s="2130"/>
      <c r="AS5" s="2130"/>
      <c r="AT5" s="2130"/>
      <c r="AU5" s="2130"/>
      <c r="AV5" s="2130"/>
      <c r="AW5" s="2130"/>
      <c r="AX5" s="2130"/>
      <c r="AY5" s="2130"/>
      <c r="AZ5" s="2130"/>
      <c r="BA5" s="2130"/>
      <c r="BB5" s="2131"/>
      <c r="BC5" s="1402" t="s">
        <v>409</v>
      </c>
      <c r="BE5" s="496"/>
      <c r="BF5" s="496" t="str">
        <f>IF(T5="","",T5)</f>
        <v/>
      </c>
      <c r="BG5" s="496"/>
      <c r="BH5" s="496"/>
    </row>
    <row s="1667" customFormat="1" customHeight="1" ht="14.25" hidden="1">
      <c r="A6" s="1360"/>
      <c r="B6" s="1360"/>
      <c r="C6" s="1360"/>
      <c r="D6" s="1360"/>
      <c r="E6" s="2090"/>
      <c r="F6" s="2090"/>
      <c r="G6" s="2090"/>
      <c r="H6" s="2090"/>
      <c r="I6" s="2091" t="str">
        <f>S5&amp;".1"</f>
        <v>.1</v>
      </c>
      <c r="J6" s="1360"/>
      <c r="K6" s="1360"/>
      <c r="L6" s="1363" t="s">
        <v>410</v>
      </c>
      <c r="M6" s="506"/>
      <c r="N6" s="506"/>
      <c r="O6" s="506"/>
      <c r="P6" s="2093">
        <v>1</v>
      </c>
      <c r="Q6" s="1498"/>
      <c r="R6" s="344"/>
      <c r="S6" s="1037"/>
      <c r="T6" s="1400"/>
      <c r="U6" s="1401"/>
      <c r="V6" s="2130"/>
      <c r="W6" s="2130"/>
      <c r="X6" s="2130"/>
      <c r="Y6" s="2130"/>
      <c r="Z6" s="2130"/>
      <c r="AA6" s="2130"/>
      <c r="AB6" s="2130"/>
      <c r="AC6" s="2131"/>
      <c r="AD6" s="2129"/>
      <c r="AE6" s="2130"/>
      <c r="AF6" s="2130"/>
      <c r="AG6" s="2130"/>
      <c r="AH6" s="2130"/>
      <c r="AI6" s="2130"/>
      <c r="AJ6" s="2130"/>
      <c r="AK6" s="2130"/>
      <c r="AL6" s="2130"/>
      <c r="AM6" s="2130"/>
      <c r="AN6" s="2130"/>
      <c r="AO6" s="2130"/>
      <c r="AP6" s="2130"/>
      <c r="AQ6" s="2130"/>
      <c r="AR6" s="2130"/>
      <c r="AS6" s="2130"/>
      <c r="AT6" s="2130"/>
      <c r="AU6" s="2130"/>
      <c r="AV6" s="2130"/>
      <c r="AW6" s="2130"/>
      <c r="AX6" s="2130"/>
      <c r="AY6" s="2130"/>
      <c r="AZ6" s="2130"/>
      <c r="BA6" s="2130"/>
      <c r="BB6" s="2131"/>
      <c r="BC6" s="1402"/>
      <c r="BE6" s="496"/>
      <c r="BF6" s="496" t="str">
        <f>IF(T6="","",T6)</f>
        <v/>
      </c>
      <c r="BG6" s="496"/>
      <c r="BH6" s="496"/>
    </row>
    <row s="1667" customFormat="1" customHeight="1" ht="14.25" hidden="1">
      <c r="A7" s="1360"/>
      <c r="B7" s="1360"/>
      <c r="C7" s="1360"/>
      <c r="D7" s="1360"/>
      <c r="E7" s="2090"/>
      <c r="F7" s="2090"/>
      <c r="G7" s="2090"/>
      <c r="H7" s="2090"/>
      <c r="I7" s="2092"/>
      <c r="J7" s="2091" t="str">
        <f>S5&amp;".1"</f>
        <v>.1</v>
      </c>
      <c r="K7" s="1360"/>
      <c r="L7" s="1363"/>
      <c r="M7" s="506"/>
      <c r="N7" s="506"/>
      <c r="O7" s="506"/>
      <c r="P7" s="2093"/>
      <c r="Q7" s="2093">
        <v>1</v>
      </c>
      <c r="R7" s="345"/>
      <c r="S7" s="1037"/>
      <c r="T7" s="1416"/>
      <c r="U7" s="1401"/>
      <c r="V7" s="2130"/>
      <c r="W7" s="2130"/>
      <c r="X7" s="2130"/>
      <c r="Y7" s="2130"/>
      <c r="Z7" s="2130"/>
      <c r="AA7" s="2130"/>
      <c r="AB7" s="2130"/>
      <c r="AC7" s="2131"/>
      <c r="AD7" s="2129"/>
      <c r="AE7" s="2130"/>
      <c r="AF7" s="2130"/>
      <c r="AG7" s="2130"/>
      <c r="AH7" s="2130"/>
      <c r="AI7" s="2130"/>
      <c r="AJ7" s="2130"/>
      <c r="AK7" s="2130"/>
      <c r="AL7" s="2130"/>
      <c r="AM7" s="2130"/>
      <c r="AN7" s="2130"/>
      <c r="AO7" s="2130"/>
      <c r="AP7" s="2130"/>
      <c r="AQ7" s="2130"/>
      <c r="AR7" s="2130"/>
      <c r="AS7" s="2130"/>
      <c r="AT7" s="2130"/>
      <c r="AU7" s="2130"/>
      <c r="AV7" s="2130"/>
      <c r="AW7" s="2130"/>
      <c r="AX7" s="2130"/>
      <c r="AY7" s="2130"/>
      <c r="AZ7" s="2130"/>
      <c r="BA7" s="2130"/>
      <c r="BB7" s="2131"/>
      <c r="BC7" s="1402"/>
      <c r="BE7" s="496"/>
      <c r="BF7" s="496" t="str">
        <f>IF(T7="","",T7)</f>
        <v/>
      </c>
      <c r="BG7" s="496"/>
      <c r="BH7" s="496"/>
    </row>
    <row customHeight="1" ht="11.25" hidden="1">
      <c r="A8" s="1380"/>
      <c r="B8" s="1380"/>
      <c r="C8" s="1380"/>
      <c r="D8" s="1380"/>
      <c r="E8" s="2090"/>
      <c r="F8" s="2090"/>
      <c r="G8" s="2090"/>
      <c r="H8" s="2090"/>
      <c r="I8" s="2092"/>
      <c r="J8" s="2092"/>
      <c r="K8" s="2091">
        <f>S4&amp;".1"</f>
      </c>
      <c r="L8" s="1381"/>
      <c r="P8" s="2093"/>
      <c r="Q8" s="2093"/>
      <c r="R8" s="2169">
        <v>1</v>
      </c>
      <c r="S8" s="2166">
        <f>$K8</f>
      </c>
      <c r="T8" s="2185"/>
      <c r="U8" s="280"/>
      <c r="V8" s="746"/>
      <c r="W8" s="1272"/>
      <c r="X8" s="746"/>
      <c r="Y8" s="1272"/>
      <c r="Z8" s="1758"/>
      <c r="AA8" s="1486" t="s">
        <v>66</v>
      </c>
      <c r="AB8" s="1758"/>
      <c r="AC8" s="1486" t="s">
        <v>66</v>
      </c>
      <c r="AD8" s="2026" t="s">
        <v>66</v>
      </c>
      <c r="AE8" s="2162"/>
      <c r="AF8" s="2039">
        <v>1</v>
      </c>
      <c r="AG8" s="2184"/>
      <c r="AH8" s="1963" t="s">
        <v>66</v>
      </c>
      <c r="AI8" s="2162"/>
      <c r="AJ8" s="2039">
        <v>1</v>
      </c>
      <c r="AK8" s="2183" t="s">
        <v>24</v>
      </c>
      <c r="AL8" s="1963" t="s">
        <v>66</v>
      </c>
      <c r="AM8" s="2011"/>
      <c r="AN8" s="2039">
        <v>1</v>
      </c>
      <c r="AO8" s="2188"/>
      <c r="AP8" s="2189" t="s">
        <v>66</v>
      </c>
      <c r="AQ8" s="293"/>
      <c r="AR8" s="1503">
        <v>1</v>
      </c>
      <c r="AS8" s="1509" t="s">
        <v>24</v>
      </c>
      <c r="AT8" s="746"/>
      <c r="AU8" s="1272"/>
      <c r="AV8" s="746"/>
      <c r="AW8" s="1272"/>
      <c r="AX8" s="1758"/>
      <c r="AY8" s="1486" t="s">
        <v>66</v>
      </c>
      <c r="AZ8" s="1758"/>
      <c r="BA8" s="1486" t="s">
        <v>66</v>
      </c>
      <c r="BB8" s="1365"/>
      <c r="BC8" s="2119" t="s">
        <v>506</v>
      </c>
      <c r="BE8" s="496"/>
      <c r="BF8" s="496" t="str">
        <f>IF(T8="","",T8)</f>
        <v/>
      </c>
      <c r="BG8" s="496"/>
      <c r="BH8" s="496"/>
    </row>
    <row customHeight="1" ht="11.25" hidden="1">
      <c r="A9" s="1380"/>
      <c r="B9" s="1380"/>
      <c r="C9" s="1380"/>
      <c r="D9" s="1380"/>
      <c r="E9" s="2090"/>
      <c r="F9" s="2090"/>
      <c r="G9" s="2090"/>
      <c r="H9" s="2090"/>
      <c r="I9" s="2092"/>
      <c r="J9" s="2092"/>
      <c r="K9" s="2091"/>
      <c r="L9" s="1381"/>
      <c r="P9" s="2093"/>
      <c r="Q9" s="2093"/>
      <c r="R9" s="2169"/>
      <c r="S9" s="2167"/>
      <c r="T9" s="2186"/>
      <c r="U9" s="280"/>
      <c r="V9" s="1410"/>
      <c r="W9" s="1513"/>
      <c r="X9" s="1410"/>
      <c r="Y9" s="1513"/>
      <c r="Z9" s="1410"/>
      <c r="AA9" s="1410"/>
      <c r="AB9" s="1410"/>
      <c r="AC9" s="1410"/>
      <c r="AD9" s="2027"/>
      <c r="AE9" s="2162"/>
      <c r="AF9" s="2039"/>
      <c r="AG9" s="2184"/>
      <c r="AH9" s="1963"/>
      <c r="AI9" s="2162"/>
      <c r="AJ9" s="2039"/>
      <c r="AK9" s="2183"/>
      <c r="AL9" s="1963"/>
      <c r="AM9" s="2019"/>
      <c r="AN9" s="2039"/>
      <c r="AO9" s="2188"/>
      <c r="AP9" s="2190"/>
      <c r="AQ9" s="300"/>
      <c r="AR9" s="413"/>
      <c r="AS9" s="413" t="s">
        <v>507</v>
      </c>
      <c r="AT9" s="1410"/>
      <c r="AU9" s="1513"/>
      <c r="AV9" s="1410"/>
      <c r="AW9" s="1513"/>
      <c r="AX9" s="1410"/>
      <c r="AY9" s="1410"/>
      <c r="AZ9" s="1410"/>
      <c r="BA9" s="1410"/>
      <c r="BB9" s="1414"/>
      <c r="BC9" s="2120"/>
      <c r="BE9" s="496"/>
      <c r="BF9" s="496"/>
      <c r="BG9" s="496"/>
      <c r="BH9" s="496"/>
    </row>
    <row customHeight="1" ht="11.25" hidden="1">
      <c r="A10" s="1380"/>
      <c r="B10" s="1380"/>
      <c r="C10" s="1380"/>
      <c r="D10" s="1380"/>
      <c r="E10" s="2090"/>
      <c r="F10" s="2090"/>
      <c r="G10" s="2090"/>
      <c r="H10" s="2090"/>
      <c r="I10" s="2092"/>
      <c r="J10" s="2092"/>
      <c r="K10" s="2091"/>
      <c r="L10" s="1381"/>
      <c r="P10" s="2093"/>
      <c r="Q10" s="2093"/>
      <c r="R10" s="2169"/>
      <c r="S10" s="2167"/>
      <c r="T10" s="2186"/>
      <c r="U10" s="280"/>
      <c r="V10" s="1410"/>
      <c r="W10" s="1513"/>
      <c r="X10" s="1410"/>
      <c r="Y10" s="1513"/>
      <c r="Z10" s="1410"/>
      <c r="AA10" s="1410"/>
      <c r="AB10" s="1410"/>
      <c r="AC10" s="1410"/>
      <c r="AD10" s="2027"/>
      <c r="AE10" s="2162"/>
      <c r="AF10" s="2039"/>
      <c r="AG10" s="2184"/>
      <c r="AH10" s="1963"/>
      <c r="AI10" s="2162"/>
      <c r="AJ10" s="2039"/>
      <c r="AK10" s="2183"/>
      <c r="AL10" s="1963"/>
      <c r="AM10" s="300"/>
      <c r="AN10" s="1517"/>
      <c r="AO10" s="1517" t="s">
        <v>508</v>
      </c>
      <c r="AP10" s="413"/>
      <c r="AQ10" s="413"/>
      <c r="AR10" s="413"/>
      <c r="AS10" s="1410"/>
      <c r="AT10" s="1410"/>
      <c r="AU10" s="1513"/>
      <c r="AV10" s="1410"/>
      <c r="AW10" s="1513"/>
      <c r="AX10" s="1410"/>
      <c r="AY10" s="1410"/>
      <c r="AZ10" s="1410"/>
      <c r="BA10" s="1410"/>
      <c r="BB10" s="1414"/>
      <c r="BC10" s="2120"/>
      <c r="BE10" s="496"/>
      <c r="BF10" s="496"/>
      <c r="BG10" s="496"/>
      <c r="BH10" s="496"/>
    </row>
    <row customHeight="1" ht="11.25" hidden="1">
      <c r="A11" s="1380"/>
      <c r="B11" s="1380"/>
      <c r="C11" s="1380"/>
      <c r="D11" s="1380"/>
      <c r="E11" s="2090"/>
      <c r="F11" s="2090"/>
      <c r="G11" s="2090"/>
      <c r="H11" s="2090"/>
      <c r="I11" s="2092"/>
      <c r="J11" s="2092"/>
      <c r="K11" s="2091"/>
      <c r="L11" s="1381"/>
      <c r="P11" s="2093"/>
      <c r="Q11" s="2093"/>
      <c r="R11" s="2169"/>
      <c r="S11" s="2167"/>
      <c r="T11" s="2186"/>
      <c r="U11" s="280"/>
      <c r="V11" s="1410"/>
      <c r="W11" s="1513"/>
      <c r="X11" s="1410"/>
      <c r="Y11" s="1513"/>
      <c r="Z11" s="1410"/>
      <c r="AA11" s="1410"/>
      <c r="AB11" s="1410"/>
      <c r="AC11" s="1410"/>
      <c r="AD11" s="2027"/>
      <c r="AE11" s="2162"/>
      <c r="AF11" s="2039"/>
      <c r="AG11" s="2184"/>
      <c r="AH11" s="1963"/>
      <c r="AI11" s="274"/>
      <c r="AJ11" s="412"/>
      <c r="AK11" s="295" t="s">
        <v>509</v>
      </c>
      <c r="AL11" s="1410"/>
      <c r="AM11" s="1410"/>
      <c r="AN11" s="1410"/>
      <c r="AO11" s="1410"/>
      <c r="AP11" s="1410"/>
      <c r="AQ11" s="1410"/>
      <c r="AR11" s="1410"/>
      <c r="AS11" s="1410"/>
      <c r="AT11" s="1410"/>
      <c r="AU11" s="1513"/>
      <c r="AV11" s="1410"/>
      <c r="AW11" s="1513"/>
      <c r="AX11" s="1410"/>
      <c r="AY11" s="1410"/>
      <c r="AZ11" s="1410"/>
      <c r="BA11" s="1410"/>
      <c r="BB11" s="1414"/>
      <c r="BC11" s="2120"/>
      <c r="BE11" s="496"/>
      <c r="BF11" s="496"/>
      <c r="BG11" s="496"/>
      <c r="BH11" s="496"/>
    </row>
    <row customHeight="1" ht="11.25" hidden="1">
      <c r="A12" s="1380"/>
      <c r="B12" s="1380"/>
      <c r="C12" s="1380"/>
      <c r="D12" s="1380"/>
      <c r="E12" s="2090"/>
      <c r="F12" s="2090"/>
      <c r="G12" s="2090"/>
      <c r="H12" s="2090"/>
      <c r="I12" s="2092"/>
      <c r="J12" s="2092"/>
      <c r="K12" s="2091"/>
      <c r="L12" s="1381"/>
      <c r="P12" s="2093"/>
      <c r="Q12" s="2093"/>
      <c r="R12" s="2169"/>
      <c r="S12" s="2168"/>
      <c r="T12" s="2187"/>
      <c r="U12" s="280"/>
      <c r="V12" s="1410"/>
      <c r="W12" s="1411" t="str">
        <f>Z8&amp;"-"&amp;AB8</f>
        <v>-</v>
      </c>
      <c r="X12" s="1410"/>
      <c r="Y12" s="1411" t="str">
        <f>AB8&amp;"-"&amp;AD8</f>
        <v>-да</v>
      </c>
      <c r="Z12" s="1410"/>
      <c r="AA12" s="1410"/>
      <c r="AB12" s="1410"/>
      <c r="AC12" s="1410"/>
      <c r="AD12" s="1968"/>
      <c r="AE12" s="294"/>
      <c r="AF12" s="296"/>
      <c r="AG12" s="413" t="s">
        <v>510</v>
      </c>
      <c r="AH12" s="1410"/>
      <c r="AI12" s="1410"/>
      <c r="AJ12" s="1410"/>
      <c r="AK12" s="1410"/>
      <c r="AL12" s="1410"/>
      <c r="AM12" s="1410"/>
      <c r="AN12" s="1410"/>
      <c r="AO12" s="1410"/>
      <c r="AP12" s="1410"/>
      <c r="AQ12" s="1410"/>
      <c r="AR12" s="1410"/>
      <c r="AS12" s="1410"/>
      <c r="AT12" s="1410"/>
      <c r="AU12" s="1411" t="str">
        <f>AX8&amp;"-"&amp;AZ8</f>
        <v>-</v>
      </c>
      <c r="AV12" s="1410"/>
      <c r="AW12" s="1411" t="str">
        <f>AZ8&amp;"-"&amp;BB8</f>
        <v>-</v>
      </c>
      <c r="AX12" s="1410"/>
      <c r="AY12" s="1410"/>
      <c r="AZ12" s="1410"/>
      <c r="BA12" s="1410"/>
      <c r="BB12" s="1413" t="str">
        <f>BE8&amp;"-"&amp;BG8</f>
        <v>-</v>
      </c>
      <c r="BC12" s="2120"/>
      <c r="BE12" s="496"/>
      <c r="BF12" s="496" t="str">
        <f>IF(T12="","",T12)</f>
        <v/>
      </c>
      <c r="BG12" s="496"/>
      <c r="BH12" s="496"/>
    </row>
    <row customHeight="1" ht="11.25" hidden="1">
      <c r="A13" s="1380"/>
      <c r="B13" s="1380"/>
      <c r="C13" s="1380"/>
      <c r="D13" s="1380"/>
      <c r="E13" s="2090"/>
      <c r="F13" s="2090"/>
      <c r="G13" s="2090"/>
      <c r="H13" s="2090"/>
      <c r="I13" s="2092"/>
      <c r="J13" s="2091"/>
      <c r="K13" s="1380"/>
      <c r="L13" s="1381"/>
      <c r="P13" s="2093"/>
      <c r="Q13" s="2093"/>
      <c r="R13" s="344"/>
      <c r="S13" s="1295"/>
      <c r="T13" s="268" t="s">
        <v>474</v>
      </c>
      <c r="U13" s="359"/>
      <c r="V13" s="359"/>
      <c r="W13" s="359"/>
      <c r="X13" s="359"/>
      <c r="Y13" s="359"/>
      <c r="Z13" s="359"/>
      <c r="AA13" s="359"/>
      <c r="AB13" s="359"/>
      <c r="AC13" s="359"/>
      <c r="AD13" s="1522"/>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1"/>
      <c r="BE13" s="496"/>
      <c r="BF13" s="496" t="str">
        <f>IF(T13="","",T13)</f>
        <v>Добавить строку</v>
      </c>
      <c r="BG13" s="496"/>
      <c r="BH13" s="496"/>
    </row>
    <row s="1667" customFormat="1" customHeight="1" ht="14.25" hidden="1">
      <c r="A14" s="1360"/>
      <c r="B14" s="1360"/>
      <c r="C14" s="1360"/>
      <c r="D14" s="1360"/>
      <c r="E14" s="2090"/>
      <c r="F14" s="2090"/>
      <c r="G14" s="2090"/>
      <c r="H14" s="2090"/>
      <c r="I14" s="2091"/>
      <c r="J14" s="1360"/>
      <c r="K14" s="1360"/>
      <c r="L14" s="1363"/>
      <c r="M14" s="506"/>
      <c r="N14" s="506"/>
      <c r="O14" s="506"/>
      <c r="P14" s="2093"/>
      <c r="Q14" s="1498"/>
      <c r="R14" s="344"/>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5"/>
      <c r="AV14" s="1405"/>
      <c r="AW14" s="1405"/>
      <c r="AX14" s="1405"/>
      <c r="AY14" s="1405"/>
      <c r="AZ14" s="1405"/>
      <c r="BA14" s="1405"/>
      <c r="BB14" s="1405"/>
      <c r="BC14" s="1406"/>
      <c r="BE14" s="496"/>
      <c r="BF14" s="496" t="str">
        <f>IF(T14="","",T14)</f>
        <v/>
      </c>
      <c r="BG14" s="496"/>
      <c r="BH14" s="496"/>
    </row>
    <row s="1667" customFormat="1" customHeight="1" ht="14.25" hidden="1">
      <c r="A15" s="1360"/>
      <c r="B15" s="1360"/>
      <c r="C15" s="1360"/>
      <c r="D15" s="1360"/>
      <c r="E15" s="2090"/>
      <c r="F15" s="2090"/>
      <c r="G15" s="2090"/>
      <c r="H15" s="2089"/>
      <c r="I15" s="1360"/>
      <c r="J15" s="1360"/>
      <c r="K15" s="1360"/>
      <c r="L15" s="1363"/>
      <c r="M15" s="1332"/>
      <c r="N15" s="1332"/>
      <c r="O15" s="514"/>
      <c r="P15" s="376"/>
      <c r="Q15" s="1361"/>
      <c r="R15" s="1418"/>
      <c r="S15" s="1403"/>
      <c r="T15" s="1404"/>
      <c r="U15" s="1405"/>
      <c r="V15" s="1405"/>
      <c r="W15" s="1405"/>
      <c r="X15" s="1405"/>
      <c r="Y15" s="1405"/>
      <c r="Z15" s="1405"/>
      <c r="AA15" s="1405"/>
      <c r="AB15" s="1405"/>
      <c r="AC15" s="1405"/>
      <c r="AD15" s="1405"/>
      <c r="AE15" s="1405"/>
      <c r="AF15" s="1405"/>
      <c r="AG15" s="1405"/>
      <c r="AH15" s="1405"/>
      <c r="AI15" s="1405"/>
      <c r="AJ15" s="1405"/>
      <c r="AK15" s="1405"/>
      <c r="AL15" s="1405"/>
      <c r="AM15" s="1405"/>
      <c r="AN15" s="1405"/>
      <c r="AO15" s="1405"/>
      <c r="AP15" s="1405"/>
      <c r="AQ15" s="1405"/>
      <c r="AR15" s="1405"/>
      <c r="AS15" s="1405"/>
      <c r="AT15" s="1405"/>
      <c r="AU15" s="1405"/>
      <c r="AV15" s="1405"/>
      <c r="AW15" s="1405"/>
      <c r="AX15" s="1405"/>
      <c r="AY15" s="1405"/>
      <c r="AZ15" s="1405"/>
      <c r="BA15" s="1405"/>
      <c r="BB15" s="1405"/>
      <c r="BC15" s="1406"/>
      <c r="BE15" s="496"/>
      <c r="BF15" s="496" t="str">
        <f>IF(T15="","",T15)</f>
        <v/>
      </c>
      <c r="BG15" s="496"/>
      <c r="BH15" s="496"/>
    </row>
    <row s="1667" customFormat="1" customHeight="1" ht="14.25" hidden="1">
      <c r="A16" s="1360"/>
      <c r="B16" s="1360"/>
      <c r="C16" s="1360"/>
      <c r="D16" s="1331"/>
      <c r="E16" s="2090"/>
      <c r="F16" s="2090"/>
      <c r="G16" s="2089"/>
      <c r="H16" s="1331"/>
      <c r="I16" s="1331"/>
      <c r="J16" s="1331"/>
      <c r="K16" s="1331"/>
      <c r="L16" s="1511"/>
      <c r="M16" s="1332"/>
      <c r="N16" s="1332"/>
      <c r="P16" s="1333"/>
      <c r="Q16" s="1334"/>
      <c r="R16" s="1333"/>
      <c r="S16" s="1339"/>
      <c r="T16" s="1342"/>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V16" s="1341"/>
      <c r="AW16" s="1341"/>
      <c r="AX16" s="1341"/>
      <c r="AY16" s="1341"/>
      <c r="AZ16" s="1341"/>
      <c r="BA16" s="1341"/>
      <c r="BB16" s="1341"/>
      <c r="BC16" s="1341"/>
      <c r="BE16" s="783"/>
      <c r="BF16" s="783" t="str">
        <f>IF(T16="","",T16)</f>
        <v/>
      </c>
      <c r="BG16" s="783"/>
      <c r="BH16" s="783"/>
    </row>
    <row s="1667" customFormat="1" customHeight="1" ht="14.25" hidden="1">
      <c r="A17" s="1360"/>
      <c r="B17" s="1360"/>
      <c r="C17" s="1331"/>
      <c r="D17" s="1331"/>
      <c r="E17" s="2090"/>
      <c r="F17" s="2089"/>
      <c r="G17" s="1331"/>
      <c r="H17" s="1331"/>
      <c r="I17" s="1331"/>
      <c r="J17" s="1331"/>
      <c r="K17" s="1331"/>
      <c r="L17" s="1511"/>
      <c r="M17" s="1338"/>
      <c r="N17" s="1338"/>
      <c r="P17" s="1333"/>
      <c r="Q17" s="1334"/>
      <c r="R17" s="1333"/>
      <c r="S17" s="1339"/>
      <c r="T17" s="1342" t="s">
        <v>167</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V17" s="1341"/>
      <c r="AW17" s="1341"/>
      <c r="AX17" s="1341"/>
      <c r="AY17" s="1341"/>
      <c r="AZ17" s="1341"/>
      <c r="BA17" s="1341"/>
      <c r="BB17" s="1341"/>
      <c r="BC17" s="1341"/>
      <c r="BE17" s="783"/>
      <c r="BF17" s="783" t="str">
        <f>IF(T17="","",T17)</f>
        <v>Добавить централизованную систему для дифференциации</v>
      </c>
      <c r="BG17" s="783"/>
      <c r="BH17" s="783"/>
    </row>
    <row s="1667" customFormat="1" customHeight="1" ht="14.25" hidden="1">
      <c r="A18" s="1360"/>
      <c r="B18" s="1360"/>
      <c r="C18" s="1360"/>
      <c r="D18" s="1360"/>
      <c r="E18" s="2089"/>
      <c r="F18" s="1360"/>
      <c r="G18" s="1360"/>
      <c r="H18" s="1360"/>
      <c r="I18" s="1360"/>
      <c r="J18" s="1360"/>
      <c r="K18" s="1360"/>
      <c r="L18" s="1363"/>
      <c r="M18" s="1338"/>
      <c r="N18" s="1338"/>
      <c r="O18" s="514"/>
      <c r="P18" s="376"/>
      <c r="Q18" s="1361"/>
      <c r="R18" s="376"/>
      <c r="S18" s="1339"/>
      <c r="T18" s="1342" t="s">
        <v>168</v>
      </c>
      <c r="U18" s="1341"/>
      <c r="V18" s="1341"/>
      <c r="W18" s="1341"/>
      <c r="X18" s="1341"/>
      <c r="Y18" s="1341"/>
      <c r="Z18" s="1341"/>
      <c r="AA18" s="1341"/>
      <c r="AB18" s="1341"/>
      <c r="AC18" s="1341"/>
      <c r="AD18" s="1341"/>
      <c r="AE18" s="1341"/>
      <c r="AF18" s="1341"/>
      <c r="AG18" s="1341"/>
      <c r="AH18" s="1341"/>
      <c r="AI18" s="1341"/>
      <c r="AJ18" s="1341"/>
      <c r="AK18" s="1341"/>
      <c r="AL18" s="1341"/>
      <c r="AM18" s="1341"/>
      <c r="AN18" s="1341"/>
      <c r="AO18" s="1341"/>
      <c r="AP18" s="1341"/>
      <c r="AQ18" s="1341"/>
      <c r="AR18" s="1341"/>
      <c r="AS18" s="1341"/>
      <c r="AT18" s="1341"/>
      <c r="AU18" s="1341"/>
      <c r="AV18" s="1341"/>
      <c r="AW18" s="1341"/>
      <c r="AX18" s="1341"/>
      <c r="AY18" s="1341"/>
      <c r="AZ18" s="1341"/>
      <c r="BA18" s="1341"/>
      <c r="BB18" s="1341"/>
      <c r="BC18" s="1341"/>
      <c r="BE18" s="496"/>
      <c r="BF18" s="496" t="str">
        <f>IF(T18="","",T18)</f>
        <v>Добавить территорию для дифференциации</v>
      </c>
      <c r="BG18" s="496"/>
      <c r="BH18" s="496"/>
    </row>
    <row customHeight="1" ht="14.25" hidden="1">
      <c r="AC19" s="315"/>
      <c r="BA19" s="315"/>
    </row>
    <row customHeight="1" ht="14.25" hidden="1">
      <c r="AD20" s="1341" t="s">
        <v>56</v>
      </c>
      <c r="AE20" s="1518"/>
      <c r="AF20" s="544">
        <v>1</v>
      </c>
      <c r="AG20" s="1519"/>
      <c r="AH20" s="1341" t="s">
        <v>56</v>
      </c>
      <c r="AI20" s="1518"/>
      <c r="AJ20" s="544">
        <v>1</v>
      </c>
      <c r="AK20" s="1519"/>
      <c r="AL20" s="1341" t="s">
        <v>56</v>
      </c>
      <c r="AM20" s="1520"/>
      <c r="AN20" s="544">
        <v>1</v>
      </c>
      <c r="AO20" s="1521"/>
      <c r="AP20" s="1341" t="s">
        <v>56</v>
      </c>
      <c r="AQ20" s="1520"/>
      <c r="AR20" s="544">
        <v>1</v>
      </c>
      <c r="AS20" s="1521"/>
      <c r="AT20" s="312"/>
      <c r="AU20" s="381"/>
      <c r="AV20" s="312"/>
      <c r="AW20" s="381"/>
      <c r="AX20" s="1760"/>
      <c r="AY20" s="1502" t="s">
        <v>66</v>
      </c>
      <c r="AZ20" s="1760"/>
      <c r="BA20" s="1502" t="s">
        <v>66</v>
      </c>
    </row>
    <row customHeight="1" ht="14.25" hidden="1">
      <c r="BD21" s="492"/>
      <c r="BE21" s="492"/>
      <c r="BF21" s="492"/>
      <c r="BG21" s="492"/>
      <c r="BH21" s="492"/>
    </row>
    <row customHeight="1" ht="14.25" hidden="1">
      <c r="O22" s="1384" t="s">
        <v>421</v>
      </c>
      <c r="Z22" s="1362"/>
      <c r="AB22" s="1362"/>
      <c r="AC22" s="315"/>
      <c r="AX22" s="1362"/>
      <c r="AZ22" s="1362"/>
      <c r="BA22" s="315"/>
      <c r="BD22" s="492"/>
      <c r="BE22" s="492"/>
      <c r="BF22" s="492"/>
      <c r="BG22" s="492"/>
      <c r="BH22" s="492"/>
    </row>
    <row customHeight="1" ht="14.25" hidden="1">
      <c r="AC23" s="315"/>
      <c r="BA23" s="315"/>
      <c r="BD23" s="492"/>
      <c r="BE23" s="492"/>
      <c r="BF23" s="492"/>
      <c r="BG23" s="492"/>
      <c r="BH23" s="492"/>
    </row>
    <row s="1526" customFormat="1" customHeight="1" ht="14.25" hidden="1">
      <c r="M24" s="1525"/>
      <c r="N24" s="1525"/>
      <c r="O24" s="1526" t="s">
        <v>422</v>
      </c>
      <c r="P24" s="1525"/>
      <c r="Q24" s="1527"/>
      <c r="R24" s="1527"/>
      <c r="AA24" s="1524" t="s">
        <v>424</v>
      </c>
      <c r="AC24" s="1524" t="s">
        <v>425</v>
      </c>
      <c r="AD24" s="1524" t="s">
        <v>475</v>
      </c>
      <c r="AH24" s="1524" t="s">
        <v>475</v>
      </c>
      <c r="AK24" s="1524" t="s">
        <v>511</v>
      </c>
      <c r="AL24" s="1524" t="s">
        <v>475</v>
      </c>
      <c r="AP24" s="1524" t="s">
        <v>475</v>
      </c>
      <c r="AY24" s="1524" t="s">
        <v>424</v>
      </c>
      <c r="BA24" s="1524" t="s">
        <v>425</v>
      </c>
      <c r="BD24" s="1528"/>
      <c r="BE24" s="1528"/>
      <c r="BF24" s="1528"/>
      <c r="BG24" s="1528"/>
      <c r="BH24" s="1528"/>
    </row>
    <row customHeight="1" ht="14.25" hidden="1">
      <c r="O25" s="1381"/>
      <c r="BD25" s="492"/>
      <c r="BE25" s="492"/>
      <c r="BF25" s="492"/>
      <c r="BG25" s="492"/>
      <c r="BH25" s="492"/>
    </row>
    <row customHeight="1" ht="14.25" hidden="1">
      <c r="O26" s="1381"/>
      <c r="BD26" s="492"/>
      <c r="BE26" s="492"/>
      <c r="BF26" s="492"/>
      <c r="BG26" s="492"/>
      <c r="BH26" s="492"/>
    </row>
    <row customHeight="1" ht="14.25">
      <c r="Q27" s="272"/>
      <c r="R27" s="368"/>
      <c r="S27" s="1292"/>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2"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122"/>
      <c r="U28" s="2122"/>
      <c r="V28" s="2122"/>
      <c r="W28" s="2122"/>
      <c r="X28" s="2122"/>
      <c r="Y28" s="2122"/>
      <c r="Z28" s="2122"/>
      <c r="AA28" s="2122"/>
      <c r="AB28" s="2122"/>
      <c r="AC28" s="2122"/>
      <c r="AD28" s="2122"/>
      <c r="AE28" s="2122"/>
      <c r="AF28" s="2122"/>
      <c r="AG28" s="2122"/>
      <c r="AH28" s="2122"/>
      <c r="AI28" s="2122"/>
      <c r="AJ28" s="2122"/>
      <c r="AK28" s="2122"/>
      <c r="AL28" s="2122"/>
      <c r="AM28" s="2122"/>
      <c r="AN28" s="2122"/>
      <c r="AO28" s="2122"/>
      <c r="AP28" s="2122"/>
      <c r="AQ28" s="2122"/>
      <c r="AR28" s="2122"/>
      <c r="AS28" s="2122"/>
      <c r="AT28" s="2122"/>
      <c r="AU28" s="2122"/>
      <c r="AV28" s="2122"/>
      <c r="AW28" s="2122"/>
      <c r="AX28" s="2122"/>
      <c r="AY28" s="2122"/>
      <c r="AZ28" s="2122"/>
      <c r="BA28" s="1248"/>
    </row>
    <row customHeight="1" ht="14.25">
      <c r="Q29" s="272"/>
      <c r="R29" s="368"/>
      <c r="S29" s="2123" t="str">
        <f>IF(org=0,"Не определено",org)</f>
        <v>ООО "ПРОМ ИМПУЛЬС"</v>
      </c>
      <c r="T29" s="2123"/>
      <c r="U29" s="2123"/>
      <c r="V29" s="2123"/>
      <c r="W29" s="2123"/>
      <c r="X29" s="2123"/>
      <c r="Y29" s="2123"/>
      <c r="Z29" s="2123"/>
      <c r="AA29" s="2123"/>
      <c r="AB29" s="2123"/>
      <c r="AC29" s="2123"/>
      <c r="AD29" s="2123"/>
      <c r="AE29" s="2123"/>
      <c r="AF29" s="2123"/>
      <c r="AG29" s="2123"/>
      <c r="AH29" s="2123"/>
      <c r="AI29" s="2123"/>
      <c r="AJ29" s="2123"/>
      <c r="AK29" s="2123"/>
      <c r="AL29" s="2123"/>
      <c r="AM29" s="2123"/>
      <c r="AN29" s="2123"/>
      <c r="AO29" s="2123"/>
      <c r="AP29" s="2123"/>
      <c r="AQ29" s="2123"/>
      <c r="AR29" s="2123"/>
      <c r="AS29" s="2123"/>
      <c r="AT29" s="2123"/>
      <c r="AU29" s="2123"/>
      <c r="AV29" s="2123"/>
      <c r="AW29" s="2123"/>
      <c r="AX29" s="2123"/>
      <c r="AY29" s="2123"/>
      <c r="AZ29" s="2123"/>
      <c r="BA29" s="1248"/>
    </row>
    <row customHeight="1" ht="14.25">
      <c r="Q30" s="272"/>
      <c r="R30" s="368"/>
      <c r="S30" s="1292"/>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7" customFormat="1" customHeight="1" ht="25.5">
      <c r="A31" s="1385"/>
      <c r="B31" s="1385"/>
      <c r="C31" s="1385"/>
      <c r="D31" s="1385"/>
      <c r="E31" s="1385"/>
      <c r="F31" s="1385"/>
      <c r="G31" s="1385"/>
      <c r="H31" s="1385"/>
      <c r="I31" s="1385"/>
      <c r="J31" s="1385"/>
      <c r="K31" s="1385"/>
      <c r="L31" s="1386"/>
      <c r="M31" s="1385"/>
      <c r="N31" s="1385"/>
      <c r="O31" s="1385"/>
      <c r="P31" s="1385"/>
      <c r="Q31" s="1385"/>
      <c r="S31" s="2080" t="s">
        <v>38</v>
      </c>
      <c r="T31" s="2080"/>
      <c r="U31" s="1389"/>
      <c r="V31" s="2082" t="str">
        <f>IF(TITLE_NAME_OR_PR_CHANGE="",IF(TITLE_NAME_OR_PR="","",TITLE_NAME_OR_PR),TITLE_NAME_OR_PR_CHANGE)</f>
        <v>Комитет по тарифам Санкт-Петербурга</v>
      </c>
      <c r="W31" s="2082"/>
      <c r="X31" s="2082"/>
      <c r="Y31" s="2082"/>
      <c r="Z31" s="2082"/>
      <c r="AA31" s="2082"/>
      <c r="AB31" s="2082"/>
      <c r="AC31" s="314"/>
      <c r="AD31" s="2082" t="str">
        <f>IF(TITLE_NAME_OR_PR_CHANGE="",IF(TITLE_NAME_OR_PR="","",TITLE_NAME_OR_PR),TITLE_NAME_OR_PR_CHANGE)</f>
        <v>Комитет по тарифам Санкт-Петербурга</v>
      </c>
      <c r="AE31" s="2082"/>
      <c r="AF31" s="2082"/>
      <c r="AG31" s="2082"/>
      <c r="AH31" s="2082"/>
      <c r="AI31" s="2082"/>
      <c r="AJ31" s="2082"/>
      <c r="AK31" s="2082"/>
      <c r="AL31" s="2082"/>
      <c r="AM31" s="2082"/>
      <c r="AN31" s="2082"/>
      <c r="AO31" s="2082"/>
      <c r="AP31" s="2082"/>
      <c r="AQ31" s="2082"/>
      <c r="AR31" s="2082"/>
      <c r="AS31" s="2082"/>
      <c r="AT31" s="2082"/>
      <c r="AU31" s="2082"/>
      <c r="AV31" s="2082"/>
      <c r="AW31" s="2082"/>
      <c r="AX31" s="2082"/>
      <c r="AY31" s="2082"/>
      <c r="AZ31" s="2082"/>
      <c r="BA31" s="314"/>
      <c r="BB31" s="314"/>
      <c r="BC31" s="261"/>
      <c r="BD31" s="360"/>
      <c r="BE31" s="360"/>
      <c r="BF31" s="360"/>
      <c r="BG31" s="360"/>
      <c r="BH31" s="360"/>
    </row>
    <row s="1877" customFormat="1" customHeight="1" ht="18.75">
      <c r="A32" s="1385"/>
      <c r="B32" s="1385"/>
      <c r="C32" s="1385"/>
      <c r="D32" s="1385"/>
      <c r="E32" s="1385"/>
      <c r="F32" s="1385"/>
      <c r="G32" s="1385"/>
      <c r="H32" s="1385"/>
      <c r="I32" s="1385"/>
      <c r="J32" s="1385"/>
      <c r="K32" s="1385"/>
      <c r="L32" s="1386"/>
      <c r="M32" s="1385"/>
      <c r="N32" s="1385"/>
      <c r="O32" s="1385"/>
      <c r="P32" s="1385"/>
      <c r="Q32" s="1385"/>
      <c r="S32" s="2080" t="s">
        <v>427</v>
      </c>
      <c r="T32" s="2080"/>
      <c r="U32" s="1389"/>
      <c r="V32" s="2081" t="str">
        <f>IF(TITLE_DATE_PR_CHANGE="",IF(TITLE_DATE_PR="","",TITLE_DATE_PR),TITLE_DATE_PR_CHANGE)</f>
        <v>45268.58207175926</v>
      </c>
      <c r="W32" s="2081"/>
      <c r="X32" s="2081"/>
      <c r="Y32" s="2081"/>
      <c r="Z32" s="2081"/>
      <c r="AA32" s="2081"/>
      <c r="AB32" s="2081"/>
      <c r="AC32" s="314"/>
      <c r="AD32" s="2081" t="str">
        <f>IF(TITLE_DATE_PR_CHANGE="",IF(TITLE_DATE_PR="","",TITLE_DATE_PR),TITLE_DATE_PR_CHANGE)</f>
        <v>45268.58207175926</v>
      </c>
      <c r="AE32" s="2081"/>
      <c r="AF32" s="2081"/>
      <c r="AG32" s="2081"/>
      <c r="AH32" s="2081"/>
      <c r="AI32" s="2081"/>
      <c r="AJ32" s="2081"/>
      <c r="AK32" s="2081"/>
      <c r="AL32" s="2081"/>
      <c r="AM32" s="2081"/>
      <c r="AN32" s="2081"/>
      <c r="AO32" s="2081"/>
      <c r="AP32" s="2081"/>
      <c r="AQ32" s="2081"/>
      <c r="AR32" s="2081"/>
      <c r="AS32" s="2081"/>
      <c r="AT32" s="2081"/>
      <c r="AU32" s="2081"/>
      <c r="AV32" s="2081"/>
      <c r="AW32" s="2081"/>
      <c r="AX32" s="2081"/>
      <c r="AY32" s="2081"/>
      <c r="AZ32" s="2081"/>
      <c r="BA32" s="314"/>
      <c r="BB32" s="314"/>
      <c r="BC32" s="261"/>
      <c r="BD32" s="360"/>
      <c r="BE32" s="360"/>
      <c r="BF32" s="360"/>
      <c r="BG32" s="360"/>
      <c r="BH32" s="360"/>
    </row>
    <row s="1877" customFormat="1" customHeight="1" ht="18.75">
      <c r="A33" s="1385"/>
      <c r="B33" s="1385"/>
      <c r="C33" s="1385"/>
      <c r="D33" s="1385"/>
      <c r="E33" s="1385"/>
      <c r="F33" s="1385"/>
      <c r="G33" s="1385"/>
      <c r="H33" s="1385"/>
      <c r="I33" s="1385"/>
      <c r="J33" s="1385"/>
      <c r="K33" s="1385"/>
      <c r="L33" s="1386"/>
      <c r="M33" s="1385"/>
      <c r="N33" s="1385"/>
      <c r="O33" s="1385"/>
      <c r="P33" s="1385"/>
      <c r="Q33" s="1385"/>
      <c r="S33" s="2080" t="s">
        <v>428</v>
      </c>
      <c r="T33" s="2080"/>
      <c r="U33" s="1389"/>
      <c r="V33" s="2082" t="str">
        <f>IF(TITLE_NUMBER_PR_CHANGE="",IF(TITLE_NUMBER_PR="","",TITLE_NUMBER_PR),TITLE_NUMBER_PR_CHANGE)</f>
        <v>237-р</v>
      </c>
      <c r="W33" s="2082"/>
      <c r="X33" s="2082"/>
      <c r="Y33" s="2082"/>
      <c r="Z33" s="2082"/>
      <c r="AA33" s="2082"/>
      <c r="AB33" s="2082"/>
      <c r="AC33" s="314"/>
      <c r="AD33" s="2082" t="str">
        <f>IF(TITLE_NUMBER_PR_CHANGE="",IF(TITLE_NUMBER_PR="","",TITLE_NUMBER_PR),TITLE_NUMBER_PR_CHANGE)</f>
        <v>237-р</v>
      </c>
      <c r="AE33" s="2082"/>
      <c r="AF33" s="2082"/>
      <c r="AG33" s="2082"/>
      <c r="AH33" s="2082"/>
      <c r="AI33" s="2082"/>
      <c r="AJ33" s="2082"/>
      <c r="AK33" s="2082"/>
      <c r="AL33" s="2082"/>
      <c r="AM33" s="2082"/>
      <c r="AN33" s="2082"/>
      <c r="AO33" s="2082"/>
      <c r="AP33" s="2082"/>
      <c r="AQ33" s="2082"/>
      <c r="AR33" s="2082"/>
      <c r="AS33" s="2082"/>
      <c r="AT33" s="2082"/>
      <c r="AU33" s="2082"/>
      <c r="AV33" s="2082"/>
      <c r="AW33" s="2082"/>
      <c r="AX33" s="2082"/>
      <c r="AY33" s="2082"/>
      <c r="AZ33" s="2082"/>
      <c r="BA33" s="314"/>
      <c r="BB33" s="314"/>
      <c r="BC33" s="261"/>
      <c r="BD33" s="360"/>
      <c r="BE33" s="360"/>
      <c r="BF33" s="360"/>
      <c r="BG33" s="360"/>
      <c r="BH33" s="360"/>
    </row>
    <row s="1877" customFormat="1" customHeight="1" ht="18.75">
      <c r="A34" s="1385"/>
      <c r="B34" s="1385"/>
      <c r="C34" s="1385"/>
      <c r="D34" s="1385"/>
      <c r="E34" s="1385"/>
      <c r="F34" s="1385"/>
      <c r="G34" s="1385"/>
      <c r="H34" s="1385"/>
      <c r="I34" s="1385"/>
      <c r="J34" s="1385"/>
      <c r="K34" s="1385"/>
      <c r="L34" s="1386"/>
      <c r="M34" s="1385"/>
      <c r="N34" s="1385"/>
      <c r="O34" s="1385"/>
      <c r="P34" s="1385"/>
      <c r="Q34" s="1385"/>
      <c r="S34" s="2080" t="s">
        <v>40</v>
      </c>
      <c r="T34" s="2080"/>
      <c r="U34" s="1389"/>
      <c r="V34" s="2082" t="str">
        <f>IF(TITLE_IST_PUB_CHANGE="",IF(TITLE_IST_PUB="","",TITLE_IST_PUB),TITLE_IST_PUB_CHANGE)</f>
        <v>https://www.gov.spb.ru/gov/otrasl/energ_kom/inform_/standarty-raskrytiya-informacii-komitetom/teplo/</v>
      </c>
      <c r="W34" s="2082"/>
      <c r="X34" s="2082"/>
      <c r="Y34" s="2082"/>
      <c r="Z34" s="2082"/>
      <c r="AA34" s="2082"/>
      <c r="AB34" s="2082"/>
      <c r="AC34" s="314"/>
      <c r="AD34" s="2082" t="str">
        <f>IF(TITLE_IST_PUB_CHANGE="",IF(TITLE_IST_PUB="","",TITLE_IST_PUB),TITLE_IST_PUB_CHANGE)</f>
        <v>https://www.gov.spb.ru/gov/otrasl/energ_kom/inform_/standarty-raskrytiya-informacii-komitetom/teplo/</v>
      </c>
      <c r="AE34" s="2082"/>
      <c r="AF34" s="2082"/>
      <c r="AG34" s="2082"/>
      <c r="AH34" s="2082"/>
      <c r="AI34" s="2082"/>
      <c r="AJ34" s="2082"/>
      <c r="AK34" s="2082"/>
      <c r="AL34" s="2082"/>
      <c r="AM34" s="2082"/>
      <c r="AN34" s="2082"/>
      <c r="AO34" s="2082"/>
      <c r="AP34" s="2082"/>
      <c r="AQ34" s="2082"/>
      <c r="AR34" s="2082"/>
      <c r="AS34" s="2082"/>
      <c r="AT34" s="2082"/>
      <c r="AU34" s="2082"/>
      <c r="AV34" s="2082"/>
      <c r="AW34" s="2082"/>
      <c r="AX34" s="2082"/>
      <c r="AY34" s="2082"/>
      <c r="AZ34" s="2082"/>
      <c r="BA34" s="314"/>
      <c r="BB34" s="314"/>
      <c r="BC34" s="261"/>
      <c r="BD34" s="360"/>
      <c r="BE34" s="360"/>
      <c r="BF34" s="360"/>
      <c r="BG34" s="360"/>
      <c r="BH34" s="360"/>
    </row>
    <row customHeight="1" ht="14.25" hidden="1">
      <c r="Q35" s="272"/>
      <c r="R35" s="368"/>
      <c r="S35" s="1292"/>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7" customFormat="1" customHeight="1" ht="18.75" hidden="1">
      <c r="A36" s="1385"/>
      <c r="B36" s="1385"/>
      <c r="C36" s="1385"/>
      <c r="D36" s="1385"/>
      <c r="E36" s="1385"/>
      <c r="F36" s="1385"/>
      <c r="G36" s="1385"/>
      <c r="H36" s="1385"/>
      <c r="I36" s="1385"/>
      <c r="J36" s="1385"/>
      <c r="K36" s="1385"/>
      <c r="L36" s="1386"/>
      <c r="M36" s="1385"/>
      <c r="N36" s="1385"/>
      <c r="O36" s="1385"/>
      <c r="P36" s="1385"/>
      <c r="Q36" s="1385"/>
      <c r="S36" s="2080" t="s">
        <v>427</v>
      </c>
      <c r="T36" s="2080"/>
      <c r="U36" s="1389"/>
      <c r="V36" s="2081" t="str">
        <f>IF(TITLE_DATE_PR_CHANGE="",IF(TITLE_DATE_PR="","",TITLE_DATE_PR),TITLE_DATE_PR_CHANGE)</f>
        <v>45268.58207175926</v>
      </c>
      <c r="W36" s="2081"/>
      <c r="X36" s="2081"/>
      <c r="Y36" s="2081"/>
      <c r="Z36" s="2081"/>
      <c r="AA36" s="2081"/>
      <c r="AB36" s="2081"/>
      <c r="AC36" s="314"/>
      <c r="AD36" s="2081" t="str">
        <f>IF(TITLE_DATE_PR_CHANGE="",IF(TITLE_DATE_PR="","",TITLE_DATE_PR),TITLE_DATE_PR_CHANGE)</f>
        <v>45268.58207175926</v>
      </c>
      <c r="AE36" s="2081"/>
      <c r="AF36" s="2081"/>
      <c r="AG36" s="2081"/>
      <c r="AH36" s="2081"/>
      <c r="AI36" s="2081"/>
      <c r="AJ36" s="2081"/>
      <c r="AK36" s="2081"/>
      <c r="AL36" s="2081"/>
      <c r="AM36" s="2081"/>
      <c r="AN36" s="2081"/>
      <c r="AO36" s="2081"/>
      <c r="AP36" s="2081"/>
      <c r="AQ36" s="2081"/>
      <c r="AR36" s="2081"/>
      <c r="AS36" s="2081"/>
      <c r="AT36" s="2081"/>
      <c r="AU36" s="2081"/>
      <c r="AV36" s="2081"/>
      <c r="AW36" s="2081"/>
      <c r="AX36" s="2081"/>
      <c r="AY36" s="2081"/>
      <c r="AZ36" s="2081"/>
      <c r="BA36" s="314"/>
      <c r="BB36" s="314"/>
      <c r="BC36" s="261"/>
      <c r="BD36" s="360"/>
      <c r="BE36" s="360"/>
      <c r="BF36" s="360"/>
      <c r="BG36" s="360"/>
      <c r="BH36" s="360"/>
    </row>
    <row s="1877" customFormat="1" customHeight="1" ht="18.75" hidden="1">
      <c r="A37" s="1385"/>
      <c r="B37" s="1385"/>
      <c r="C37" s="1385"/>
      <c r="D37" s="1385"/>
      <c r="E37" s="1385"/>
      <c r="F37" s="1385"/>
      <c r="G37" s="1385"/>
      <c r="H37" s="1385"/>
      <c r="I37" s="1385"/>
      <c r="J37" s="1385"/>
      <c r="K37" s="1385"/>
      <c r="L37" s="1386"/>
      <c r="M37" s="1385"/>
      <c r="N37" s="1385"/>
      <c r="O37" s="1385"/>
      <c r="P37" s="1385"/>
      <c r="Q37" s="1385"/>
      <c r="S37" s="2080" t="s">
        <v>428</v>
      </c>
      <c r="T37" s="2080"/>
      <c r="U37" s="1389"/>
      <c r="V37" s="2082" t="str">
        <f>IF(TITLE_NUMBER_PR_CHANGE="",IF(TITLE_NUMBER_PR="","",TITLE_NUMBER_PR),TITLE_NUMBER_PR_CHANGE)</f>
        <v>237-р</v>
      </c>
      <c r="W37" s="2082"/>
      <c r="X37" s="2082"/>
      <c r="Y37" s="2082"/>
      <c r="Z37" s="2082"/>
      <c r="AA37" s="2082"/>
      <c r="AB37" s="2082"/>
      <c r="AC37" s="314"/>
      <c r="AD37" s="2082" t="str">
        <f>IF(TITLE_NUMBER_PR_CHANGE="",IF(TITLE_NUMBER_PR="","",TITLE_NUMBER_PR),TITLE_NUMBER_PR_CHANGE)</f>
        <v>237-р</v>
      </c>
      <c r="AE37" s="2082"/>
      <c r="AF37" s="2082"/>
      <c r="AG37" s="2082"/>
      <c r="AH37" s="2082"/>
      <c r="AI37" s="2082"/>
      <c r="AJ37" s="2082"/>
      <c r="AK37" s="2082"/>
      <c r="AL37" s="2082"/>
      <c r="AM37" s="2082"/>
      <c r="AN37" s="2082"/>
      <c r="AO37" s="2082"/>
      <c r="AP37" s="2082"/>
      <c r="AQ37" s="2082"/>
      <c r="AR37" s="2082"/>
      <c r="AS37" s="2082"/>
      <c r="AT37" s="2082"/>
      <c r="AU37" s="2082"/>
      <c r="AV37" s="2082"/>
      <c r="AW37" s="2082"/>
      <c r="AX37" s="2082"/>
      <c r="AY37" s="2082"/>
      <c r="AZ37" s="2082"/>
      <c r="BA37" s="314"/>
      <c r="BB37" s="314"/>
      <c r="BC37" s="261"/>
      <c r="BD37" s="360"/>
      <c r="BE37" s="360"/>
      <c r="BF37" s="360"/>
      <c r="BG37" s="360"/>
      <c r="BH37" s="360"/>
    </row>
    <row s="1877" customFormat="1" customHeight="1" ht="0">
      <c r="A38" s="1385"/>
      <c r="B38" s="1385"/>
      <c r="C38" s="1385"/>
      <c r="D38" s="1385"/>
      <c r="E38" s="1385"/>
      <c r="F38" s="1385"/>
      <c r="G38" s="1385"/>
      <c r="H38" s="1385"/>
      <c r="I38" s="1385"/>
      <c r="J38" s="1385"/>
      <c r="K38" s="1385"/>
      <c r="L38" s="1386"/>
      <c r="M38" s="1385"/>
      <c r="N38" s="1385"/>
      <c r="O38" s="1385"/>
      <c r="P38" s="1385"/>
      <c r="Q38" s="1385"/>
      <c r="S38" s="310"/>
      <c r="T38" s="310"/>
      <c r="U38" s="1505"/>
      <c r="V38" s="314"/>
      <c r="W38" s="314"/>
      <c r="X38" s="314"/>
      <c r="Y38" s="314"/>
      <c r="Z38" s="314"/>
      <c r="AA38" s="314"/>
      <c r="AB38" s="314"/>
      <c r="AC38" s="259" t="s">
        <v>431</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431</v>
      </c>
      <c r="BD38" s="360"/>
      <c r="BE38" s="360"/>
      <c r="BF38" s="360"/>
      <c r="BG38" s="360"/>
      <c r="BH38" s="360"/>
    </row>
    <row customHeight="1" ht="14.25">
      <c r="Q39" s="272"/>
      <c r="R39" s="368"/>
      <c r="S39" s="1292"/>
      <c r="T39" s="353"/>
      <c r="U39" s="1249"/>
      <c r="V39" s="2106"/>
      <c r="W39" s="2106"/>
      <c r="X39" s="2106"/>
      <c r="Y39" s="2106"/>
      <c r="Z39" s="2106"/>
      <c r="AA39" s="2106"/>
      <c r="AB39" s="2106"/>
      <c r="AC39" s="2106"/>
      <c r="AD39" s="2106"/>
      <c r="AE39" s="2106"/>
      <c r="AF39" s="2106"/>
      <c r="AG39" s="2106"/>
      <c r="AH39" s="2106"/>
      <c r="AI39" s="2106"/>
      <c r="AJ39" s="2106"/>
      <c r="AK39" s="2106"/>
      <c r="AL39" s="2106"/>
      <c r="AM39" s="2106"/>
      <c r="AN39" s="2106"/>
      <c r="AO39" s="2106"/>
      <c r="AP39" s="2106"/>
      <c r="AQ39" s="2106"/>
      <c r="AR39" s="2106"/>
      <c r="AS39" s="2106"/>
      <c r="AT39" s="2106"/>
      <c r="AU39" s="2106"/>
      <c r="AV39" s="2106"/>
      <c r="AW39" s="2106"/>
      <c r="AX39" s="2106"/>
      <c r="AY39" s="2106"/>
      <c r="AZ39" s="2106"/>
      <c r="BA39" s="2106"/>
    </row>
    <row customHeight="1" ht="14.25">
      <c r="Q40" s="272"/>
      <c r="R40" s="368"/>
      <c r="S40" s="1953" t="s">
        <v>305</v>
      </c>
      <c r="T40" s="1953"/>
      <c r="U40" s="1953"/>
      <c r="V40" s="1953"/>
      <c r="W40" s="1953"/>
      <c r="X40" s="1953"/>
      <c r="Y40" s="1953"/>
      <c r="Z40" s="1953"/>
      <c r="AA40" s="1953"/>
      <c r="AB40" s="1953"/>
      <c r="AC40" s="1953"/>
      <c r="AD40" s="1953"/>
      <c r="AE40" s="1953"/>
      <c r="AF40" s="1953"/>
      <c r="AG40" s="1953"/>
      <c r="AH40" s="1953"/>
      <c r="AI40" s="1953"/>
      <c r="AJ40" s="1953"/>
      <c r="AK40" s="1953"/>
      <c r="AL40" s="1953"/>
      <c r="AM40" s="1953"/>
      <c r="AN40" s="1953"/>
      <c r="AO40" s="1953"/>
      <c r="AP40" s="1953"/>
      <c r="AQ40" s="1953"/>
      <c r="AR40" s="1953"/>
      <c r="AS40" s="1953"/>
      <c r="AT40" s="1953"/>
      <c r="AU40" s="1953"/>
      <c r="AV40" s="1953"/>
      <c r="AW40" s="1953"/>
      <c r="AX40" s="1953"/>
      <c r="AY40" s="1953"/>
      <c r="AZ40" s="1953"/>
      <c r="BA40" s="1953"/>
      <c r="BB40" s="1953"/>
      <c r="BC40" s="1953" t="s">
        <v>306</v>
      </c>
    </row>
    <row customHeight="1" ht="14.25">
      <c r="Q41" s="272"/>
      <c r="R41" s="368"/>
      <c r="S41" s="2107" t="s">
        <v>87</v>
      </c>
      <c r="T41" s="2044" t="s">
        <v>512</v>
      </c>
      <c r="U41" s="281"/>
      <c r="V41" s="2108" t="s">
        <v>433</v>
      </c>
      <c r="W41" s="2109"/>
      <c r="X41" s="2109"/>
      <c r="Y41" s="2109"/>
      <c r="Z41" s="2109"/>
      <c r="AA41" s="2109"/>
      <c r="AB41" s="2110"/>
      <c r="AC41" s="2111" t="s">
        <v>434</v>
      </c>
      <c r="AD41" s="2155" t="s">
        <v>513</v>
      </c>
      <c r="AE41" s="2128"/>
      <c r="AF41" s="2128"/>
      <c r="AG41" s="2156"/>
      <c r="AH41" s="2155" t="s">
        <v>514</v>
      </c>
      <c r="AI41" s="2128"/>
      <c r="AJ41" s="2128"/>
      <c r="AK41" s="2156"/>
      <c r="AL41" s="2155" t="s">
        <v>515</v>
      </c>
      <c r="AM41" s="2128"/>
      <c r="AN41" s="2128"/>
      <c r="AO41" s="2156"/>
      <c r="AP41" s="2155" t="s">
        <v>516</v>
      </c>
      <c r="AQ41" s="2128"/>
      <c r="AR41" s="2128"/>
      <c r="AS41" s="2156"/>
      <c r="AT41" s="2108" t="s">
        <v>433</v>
      </c>
      <c r="AU41" s="2109"/>
      <c r="AV41" s="2109"/>
      <c r="AW41" s="2109"/>
      <c r="AX41" s="2109"/>
      <c r="AY41" s="2109"/>
      <c r="AZ41" s="2110"/>
      <c r="BA41" s="2111" t="s">
        <v>434</v>
      </c>
      <c r="BB41" s="2114" t="s">
        <v>436</v>
      </c>
      <c r="BC41" s="1953"/>
    </row>
    <row customHeight="1" ht="33.75">
      <c r="Q42" s="272"/>
      <c r="R42" s="368"/>
      <c r="S42" s="2107"/>
      <c r="T42" s="2044"/>
      <c r="U42" s="1026"/>
      <c r="V42" s="2011" t="s">
        <v>517</v>
      </c>
      <c r="W42" s="2012"/>
      <c r="X42" s="2011" t="s">
        <v>518</v>
      </c>
      <c r="Y42" s="2012"/>
      <c r="Z42" s="2126" t="s">
        <v>519</v>
      </c>
      <c r="AA42" s="2144"/>
      <c r="AB42" s="2145"/>
      <c r="AC42" s="2112"/>
      <c r="AD42" s="2157"/>
      <c r="AE42" s="2158"/>
      <c r="AF42" s="2158"/>
      <c r="AG42" s="2170"/>
      <c r="AH42" s="2157"/>
      <c r="AI42" s="2158"/>
      <c r="AJ42" s="2158"/>
      <c r="AK42" s="2170"/>
      <c r="AL42" s="2157"/>
      <c r="AM42" s="2158"/>
      <c r="AN42" s="2158"/>
      <c r="AO42" s="2170"/>
      <c r="AP42" s="2157"/>
      <c r="AQ42" s="2158"/>
      <c r="AR42" s="2158"/>
      <c r="AS42" s="2170"/>
      <c r="AT42" s="2011" t="s">
        <v>517</v>
      </c>
      <c r="AU42" s="2012"/>
      <c r="AV42" s="2011" t="s">
        <v>518</v>
      </c>
      <c r="AW42" s="2012"/>
      <c r="AX42" s="2126" t="s">
        <v>519</v>
      </c>
      <c r="AY42" s="2144"/>
      <c r="AZ42" s="2145"/>
      <c r="BA42" s="2112"/>
      <c r="BB42" s="2115"/>
      <c r="BC42" s="1953"/>
    </row>
    <row customHeight="1" ht="14.25">
      <c r="Q43" s="272"/>
      <c r="R43" s="368"/>
      <c r="S43" s="2107"/>
      <c r="T43" s="2044"/>
      <c r="U43" s="1026"/>
      <c r="V43" s="2019"/>
      <c r="W43" s="2020"/>
      <c r="X43" s="2019"/>
      <c r="Y43" s="2020"/>
      <c r="Z43" s="2127"/>
      <c r="AA43" s="2146"/>
      <c r="AB43" s="2147"/>
      <c r="AC43" s="2112"/>
      <c r="AD43" s="2157"/>
      <c r="AE43" s="2158"/>
      <c r="AF43" s="2158"/>
      <c r="AG43" s="2170"/>
      <c r="AH43" s="2157"/>
      <c r="AI43" s="2158"/>
      <c r="AJ43" s="2158"/>
      <c r="AK43" s="2170"/>
      <c r="AL43" s="2157"/>
      <c r="AM43" s="2158"/>
      <c r="AN43" s="2158"/>
      <c r="AO43" s="2170"/>
      <c r="AP43" s="2157"/>
      <c r="AQ43" s="2158"/>
      <c r="AR43" s="2158"/>
      <c r="AS43" s="2170"/>
      <c r="AT43" s="2019"/>
      <c r="AU43" s="2020"/>
      <c r="AV43" s="2019"/>
      <c r="AW43" s="2020"/>
      <c r="AX43" s="2127"/>
      <c r="AY43" s="2146"/>
      <c r="AZ43" s="2147"/>
      <c r="BA43" s="2112"/>
      <c r="BB43" s="2115"/>
      <c r="BC43" s="1953"/>
    </row>
    <row customHeight="1" ht="14.25">
      <c r="A44" s="1387"/>
      <c r="B44" s="1387" t="s">
        <v>134</v>
      </c>
      <c r="C44" s="1387" t="s">
        <v>135</v>
      </c>
      <c r="D44" s="1387" t="s">
        <v>136</v>
      </c>
      <c r="E44" s="1381" t="s">
        <v>441</v>
      </c>
      <c r="F44" s="1381" t="s">
        <v>442</v>
      </c>
      <c r="G44" s="1381" t="s">
        <v>443</v>
      </c>
      <c r="H44" s="1381" t="s">
        <v>444</v>
      </c>
      <c r="I44" s="1381" t="s">
        <v>445</v>
      </c>
      <c r="J44" s="1381" t="s">
        <v>446</v>
      </c>
      <c r="K44" s="1381" t="s">
        <v>447</v>
      </c>
      <c r="L44" s="1381" t="s">
        <v>422</v>
      </c>
      <c r="Q44" s="272"/>
      <c r="R44" s="368"/>
      <c r="S44" s="2107"/>
      <c r="T44" s="2044"/>
      <c r="U44" s="282"/>
      <c r="V44" s="1496" t="s">
        <v>485</v>
      </c>
      <c r="W44" s="1496" t="s">
        <v>486</v>
      </c>
      <c r="X44" s="1496" t="s">
        <v>485</v>
      </c>
      <c r="Y44" s="1496" t="s">
        <v>486</v>
      </c>
      <c r="Z44" s="1506" t="s">
        <v>450</v>
      </c>
      <c r="AA44" s="2103" t="s">
        <v>451</v>
      </c>
      <c r="AB44" s="2104"/>
      <c r="AC44" s="2113"/>
      <c r="AD44" s="2159"/>
      <c r="AE44" s="2160"/>
      <c r="AF44" s="2160"/>
      <c r="AG44" s="2161"/>
      <c r="AH44" s="2159"/>
      <c r="AI44" s="2160"/>
      <c r="AJ44" s="2160"/>
      <c r="AK44" s="2161"/>
      <c r="AL44" s="2159"/>
      <c r="AM44" s="2160"/>
      <c r="AN44" s="2160"/>
      <c r="AO44" s="2161"/>
      <c r="AP44" s="2159"/>
      <c r="AQ44" s="2160"/>
      <c r="AR44" s="2160"/>
      <c r="AS44" s="2161"/>
      <c r="AT44" s="1496" t="s">
        <v>485</v>
      </c>
      <c r="AU44" s="1496" t="s">
        <v>486</v>
      </c>
      <c r="AV44" s="1496" t="s">
        <v>485</v>
      </c>
      <c r="AW44" s="1496" t="s">
        <v>486</v>
      </c>
      <c r="AX44" s="1506" t="s">
        <v>450</v>
      </c>
      <c r="AY44" s="2103" t="s">
        <v>451</v>
      </c>
      <c r="AZ44" s="2104"/>
      <c r="BA44" s="2113"/>
      <c r="BB44" s="2116"/>
      <c r="BC44" s="1953"/>
    </row>
    <row s="1666" customFormat="1" customHeight="1" ht="0">
      <c r="A45" s="1387"/>
      <c r="B45" s="1387"/>
      <c r="C45" s="1387"/>
      <c r="D45" s="1387"/>
      <c r="E45" s="1387"/>
      <c r="F45" s="1387"/>
      <c r="G45" s="1387"/>
      <c r="H45" s="1387"/>
      <c r="I45" s="1387"/>
      <c r="J45" s="1387"/>
      <c r="K45" s="1387"/>
      <c r="L45" s="1381"/>
      <c r="M45" s="1379"/>
      <c r="N45" s="1379"/>
      <c r="O45" s="1379"/>
      <c r="P45" s="506"/>
      <c r="Q45" s="1267"/>
      <c r="R45" s="1267">
        <v>1</v>
      </c>
      <c r="S45" s="1294" t="s">
        <v>108</v>
      </c>
      <c r="T45" s="1268" t="s">
        <v>109</v>
      </c>
      <c r="U45" s="1250" t="str">
        <f>OFFSET(U45,0,-1)</f>
        <v>2</v>
      </c>
      <c r="V45" s="1499">
        <f>OFFSET(V45,0,-1)+1</f>
        <v>3</v>
      </c>
      <c r="W45" s="1499">
        <f>OFFSET(W45,0,-1)+1</f>
        <v>4</v>
      </c>
      <c r="X45" s="1499">
        <f>OFFSET(X45,0,-1)+1</f>
        <v>5</v>
      </c>
      <c r="Y45" s="1499">
        <f>OFFSET(Y45,0,-1)+1</f>
        <v>6</v>
      </c>
      <c r="Z45" s="1499">
        <f>OFFSET(Z45,0,-1)+1</f>
        <v>7</v>
      </c>
      <c r="AA45" s="2105">
        <f>OFFSET(AA45,0,-1)+1</f>
        <v>8</v>
      </c>
      <c r="AB45" s="2105"/>
      <c r="AC45" s="1499">
        <f>OFFSET(AC45,0,-2)+1</f>
        <v>9</v>
      </c>
      <c r="AD45" s="1499">
        <f>OFFSET(AD45,0,-1)+1</f>
        <v>10</v>
      </c>
      <c r="AE45" s="1499"/>
      <c r="AF45" s="1499"/>
      <c r="AG45" s="1499"/>
      <c r="AH45" s="1499"/>
      <c r="AI45" s="1499"/>
      <c r="AJ45" s="1499"/>
      <c r="AK45" s="1499"/>
      <c r="AL45" s="1499"/>
      <c r="AM45" s="1499"/>
      <c r="AN45" s="1499"/>
      <c r="AO45" s="1499"/>
      <c r="AP45" s="1499"/>
      <c r="AQ45" s="1499"/>
      <c r="AR45" s="1499"/>
      <c r="AS45" s="1499"/>
      <c r="AT45" s="1499"/>
      <c r="AU45" s="1499"/>
      <c r="AV45" s="1499"/>
      <c r="AW45" s="1499">
        <f>OFFSET(AW45,0,-1)+1</f>
        <v>1</v>
      </c>
      <c r="AX45" s="1499">
        <f>OFFSET(AX45,0,-1)+1</f>
        <v>2</v>
      </c>
      <c r="AY45" s="2105">
        <f>OFFSET(AY45,0,-1)+1</f>
        <v>3</v>
      </c>
      <c r="AZ45" s="2105"/>
      <c r="BA45" s="1499">
        <f>OFFSET(BA45,0,-2)+1</f>
        <v>4</v>
      </c>
      <c r="BB45" s="1250">
        <f>OFFSET(BB45,0,-1)</f>
        <v>4</v>
      </c>
      <c r="BC45" s="1499">
        <f>OFFSET(BC45,0,-1)+1</f>
        <v>5</v>
      </c>
      <c r="BD45" s="507"/>
      <c r="BE45" s="507"/>
      <c r="BF45" s="507"/>
      <c r="BG45" s="507"/>
      <c r="BH45" s="507"/>
    </row>
    <row customHeight="1" ht="21">
      <c r="A46" s="1380" t="s">
        <v>266</v>
      </c>
      <c r="B46" s="1380"/>
      <c r="C46" s="1380"/>
      <c r="D46" s="1380"/>
      <c r="E46" s="2089">
        <v>1</v>
      </c>
      <c r="F46" s="1380"/>
      <c r="G46" s="1380"/>
      <c r="H46" s="1380"/>
      <c r="I46" s="1380"/>
      <c r="J46" s="1380"/>
      <c r="K46" s="1380"/>
      <c r="L46" s="1381"/>
      <c r="M46" s="1382"/>
      <c r="N46" s="1382"/>
      <c r="O46" s="1382"/>
      <c r="P46" s="1426"/>
      <c r="Q46" s="867"/>
      <c r="R46" s="343"/>
      <c r="S46" s="1510">
        <f>INDEX(PT_DIFFERENTIATION_NUM_NTAR,MATCH(A46,PT_DIFFERENTIATION_NTAR_ID,0))</f>
        <v>0</v>
      </c>
      <c r="T46" s="278" t="s">
        <v>122</v>
      </c>
      <c r="U46" s="280"/>
      <c r="V46" s="2084"/>
      <c r="W46" s="2084"/>
      <c r="X46" s="2084"/>
      <c r="Y46" s="2084"/>
      <c r="Z46" s="2084"/>
      <c r="AA46" s="2084"/>
      <c r="AB46" s="2084"/>
      <c r="AC46" s="2085"/>
      <c r="AD46" s="2083" t="str">
        <f>INDEX(PT_DIFFERENTIATION_NTAR,MATCH(A46,PT_DIFFERENTIATION_NTAR_ID,0))</f>
        <v/>
      </c>
      <c r="AE46" s="2084"/>
      <c r="AF46" s="2084"/>
      <c r="AG46" s="2084"/>
      <c r="AH46" s="2084"/>
      <c r="AI46" s="2084"/>
      <c r="AJ46" s="2084"/>
      <c r="AK46" s="2084"/>
      <c r="AL46" s="2084"/>
      <c r="AM46" s="2084"/>
      <c r="AN46" s="2084"/>
      <c r="AO46" s="2084"/>
      <c r="AP46" s="2084"/>
      <c r="AQ46" s="2084"/>
      <c r="AR46" s="2084"/>
      <c r="AS46" s="2084"/>
      <c r="AT46" s="2084"/>
      <c r="AU46" s="2084"/>
      <c r="AV46" s="2084"/>
      <c r="AW46" s="2084"/>
      <c r="AX46" s="2084"/>
      <c r="AY46" s="2084"/>
      <c r="AZ46" s="2084"/>
      <c r="BA46" s="2084"/>
      <c r="BB46" s="2085"/>
      <c r="BC46"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0" t="s">
        <v>266</v>
      </c>
      <c r="B47" s="1380" t="s">
        <v>267</v>
      </c>
      <c r="C47" s="1380"/>
      <c r="D47" s="1380"/>
      <c r="E47" s="2090"/>
      <c r="F47" s="2089">
        <v>1</v>
      </c>
      <c r="G47" s="1380"/>
      <c r="H47" s="1380"/>
      <c r="I47" s="1380"/>
      <c r="J47" s="1380"/>
      <c r="K47" s="1380"/>
      <c r="L47" s="1381"/>
      <c r="M47" s="1382"/>
      <c r="N47" s="1382"/>
      <c r="O47" s="1382"/>
      <c r="P47" s="1427"/>
      <c r="Q47" s="1428"/>
      <c r="R47" s="341"/>
      <c r="S47" s="1510" t="str">
        <f>INDEX(PT_DIFFERENTIATION_NUM_TER,MATCH(B47,PT_DIFFERENTIATION_TER_ID,0))</f>
        <v>.</v>
      </c>
      <c r="T47" s="290" t="s">
        <v>404</v>
      </c>
      <c r="U47" s="280"/>
      <c r="V47" s="2084"/>
      <c r="W47" s="2084"/>
      <c r="X47" s="2084"/>
      <c r="Y47" s="2084"/>
      <c r="Z47" s="2084"/>
      <c r="AA47" s="2084"/>
      <c r="AB47" s="2084"/>
      <c r="AC47" s="2085"/>
      <c r="AD47" s="2083" t="str">
        <f>INDEX(PT_DIFFERENTIATION_TER,MATCH(B47,PT_DIFFERENTIATION_TER_ID,0))</f>
        <v/>
      </c>
      <c r="AE47" s="2084"/>
      <c r="AF47" s="2084"/>
      <c r="AG47" s="2084"/>
      <c r="AH47" s="2084"/>
      <c r="AI47" s="2084"/>
      <c r="AJ47" s="2084"/>
      <c r="AK47" s="2084"/>
      <c r="AL47" s="2084"/>
      <c r="AM47" s="2084"/>
      <c r="AN47" s="2084"/>
      <c r="AO47" s="2084"/>
      <c r="AP47" s="2084"/>
      <c r="AQ47" s="2084"/>
      <c r="AR47" s="2084"/>
      <c r="AS47" s="2084"/>
      <c r="AT47" s="2084"/>
      <c r="AU47" s="2084"/>
      <c r="AV47" s="2084"/>
      <c r="AW47" s="2084"/>
      <c r="AX47" s="2084"/>
      <c r="AY47" s="2084"/>
      <c r="AZ47" s="2084"/>
      <c r="BA47" s="2084"/>
      <c r="BB47" s="2085"/>
      <c r="BC47" s="1273" t="s">
        <v>405</v>
      </c>
      <c r="BE47" s="496"/>
      <c r="BF47" s="496" t="str">
        <f>IF(T47="","",T47)</f>
        <v>Территория действия тарифа</v>
      </c>
      <c r="BG47" s="496"/>
      <c r="BH47" s="496"/>
    </row>
    <row customHeight="1" ht="33.75">
      <c r="A48" s="1380" t="s">
        <v>266</v>
      </c>
      <c r="B48" s="1380" t="s">
        <v>267</v>
      </c>
      <c r="C48" s="1380" t="s">
        <v>268</v>
      </c>
      <c r="D48" s="1380"/>
      <c r="E48" s="2090"/>
      <c r="F48" s="2090"/>
      <c r="G48" s="2089">
        <v>1</v>
      </c>
      <c r="H48" s="1380"/>
      <c r="I48" s="1380"/>
      <c r="J48" s="1380"/>
      <c r="K48" s="1380"/>
      <c r="L48" s="1381"/>
      <c r="M48" s="1382"/>
      <c r="N48" s="1382"/>
      <c r="O48" s="1382"/>
      <c r="P48" s="1429"/>
      <c r="Q48" s="1428"/>
      <c r="R48" s="341"/>
      <c r="S48" s="1510" t="str">
        <f>INDEX(PT_DIFFERENTIATION_NUM_CS,MATCH(C48,PT_DIFFERENTIATION_CS_ID,0))</f>
        <v>..</v>
      </c>
      <c r="T48" s="291" t="s">
        <v>535</v>
      </c>
      <c r="U48" s="280"/>
      <c r="V48" s="2084"/>
      <c r="W48" s="2084"/>
      <c r="X48" s="2084"/>
      <c r="Y48" s="2084"/>
      <c r="Z48" s="2084"/>
      <c r="AA48" s="2084"/>
      <c r="AB48" s="2084"/>
      <c r="AC48" s="2085"/>
      <c r="AD48" s="2083" t="str">
        <f>INDEX(PT_DIFFERENTIATION_CS,MATCH(C48,PT_DIFFERENTIATION_CS_ID,0))</f>
        <v/>
      </c>
      <c r="AE48" s="2084"/>
      <c r="AF48" s="2084"/>
      <c r="AG48" s="2084"/>
      <c r="AH48" s="2084"/>
      <c r="AI48" s="2084"/>
      <c r="AJ48" s="2084"/>
      <c r="AK48" s="2084"/>
      <c r="AL48" s="2084"/>
      <c r="AM48" s="2084"/>
      <c r="AN48" s="2084"/>
      <c r="AO48" s="2084"/>
      <c r="AP48" s="2084"/>
      <c r="AQ48" s="2084"/>
      <c r="AR48" s="2084"/>
      <c r="AS48" s="2084"/>
      <c r="AT48" s="2084"/>
      <c r="AU48" s="2084"/>
      <c r="AV48" s="2084"/>
      <c r="AW48" s="2084"/>
      <c r="AX48" s="2084"/>
      <c r="AY48" s="2084"/>
      <c r="AZ48" s="2084"/>
      <c r="BA48" s="2084"/>
      <c r="BB48" s="2085"/>
      <c r="BC48" s="1273" t="s">
        <v>536</v>
      </c>
      <c r="BE48" s="496"/>
      <c r="BF48" s="496" t="str">
        <f>IF(T48="","",T48)</f>
        <v>Наименование централизованной системы горячего водоснабжения</v>
      </c>
      <c r="BG48" s="496"/>
      <c r="BH48" s="496"/>
    </row>
    <row s="1667" customFormat="1" customHeight="1" ht="0">
      <c r="A49" s="1360" t="s">
        <v>266</v>
      </c>
      <c r="B49" s="1360" t="s">
        <v>267</v>
      </c>
      <c r="C49" s="1360" t="s">
        <v>268</v>
      </c>
      <c r="D49" s="1360" t="s">
        <v>543</v>
      </c>
      <c r="E49" s="2090"/>
      <c r="F49" s="2090"/>
      <c r="G49" s="2090"/>
      <c r="H49" s="2089">
        <v>1</v>
      </c>
      <c r="I49" s="1360"/>
      <c r="J49" s="1360"/>
      <c r="K49" s="1360"/>
      <c r="L49" s="1363"/>
      <c r="M49" s="1332"/>
      <c r="N49" s="1332"/>
      <c r="O49" s="1332"/>
      <c r="P49" s="1514"/>
      <c r="Q49" s="1515"/>
      <c r="R49" s="345"/>
      <c r="S49" s="1037"/>
      <c r="T49" s="1516"/>
      <c r="U49" s="1401"/>
      <c r="V49" s="2130"/>
      <c r="W49" s="2130"/>
      <c r="X49" s="2130"/>
      <c r="Y49" s="2130"/>
      <c r="Z49" s="2130"/>
      <c r="AA49" s="2130"/>
      <c r="AB49" s="2130"/>
      <c r="AC49" s="2131"/>
      <c r="AD49" s="2129"/>
      <c r="AE49" s="2130"/>
      <c r="AF49" s="2130"/>
      <c r="AG49" s="2130"/>
      <c r="AH49" s="2130"/>
      <c r="AI49" s="2130"/>
      <c r="AJ49" s="2130"/>
      <c r="AK49" s="2130"/>
      <c r="AL49" s="2130"/>
      <c r="AM49" s="2130"/>
      <c r="AN49" s="2130"/>
      <c r="AO49" s="2130"/>
      <c r="AP49" s="2130"/>
      <c r="AQ49" s="2130"/>
      <c r="AR49" s="2130"/>
      <c r="AS49" s="2130"/>
      <c r="AT49" s="2130"/>
      <c r="AU49" s="2130"/>
      <c r="AV49" s="2130"/>
      <c r="AW49" s="2130"/>
      <c r="AX49" s="2130"/>
      <c r="AY49" s="2130"/>
      <c r="AZ49" s="2130"/>
      <c r="BA49" s="2130"/>
      <c r="BB49" s="2131"/>
      <c r="BC49" s="1402" t="s">
        <v>409</v>
      </c>
      <c r="BE49" s="496"/>
      <c r="BF49" s="496" t="str">
        <f>IF(T49="","",T49)</f>
        <v/>
      </c>
      <c r="BG49" s="496"/>
      <c r="BH49" s="496"/>
    </row>
    <row s="1667" customFormat="1" customHeight="1" ht="0">
      <c r="A50" s="1360" t="s">
        <v>266</v>
      </c>
      <c r="B50" s="1360" t="s">
        <v>267</v>
      </c>
      <c r="C50" s="1360" t="s">
        <v>268</v>
      </c>
      <c r="D50" s="1360" t="s">
        <v>543</v>
      </c>
      <c r="E50" s="2090"/>
      <c r="F50" s="2090"/>
      <c r="G50" s="2090"/>
      <c r="H50" s="2090"/>
      <c r="I50" s="2091" t="str">
        <f>S49&amp;".1"</f>
        <v>.1</v>
      </c>
      <c r="J50" s="1360"/>
      <c r="K50" s="1360"/>
      <c r="L50" s="1363" t="s">
        <v>410</v>
      </c>
      <c r="M50" s="506"/>
      <c r="N50" s="506"/>
      <c r="O50" s="506"/>
      <c r="P50" s="2093">
        <v>1</v>
      </c>
      <c r="Q50" s="1498"/>
      <c r="R50" s="344"/>
      <c r="S50" s="1037"/>
      <c r="T50" s="1400"/>
      <c r="U50" s="1401"/>
      <c r="V50" s="2130"/>
      <c r="W50" s="2130"/>
      <c r="X50" s="2130"/>
      <c r="Y50" s="2130"/>
      <c r="Z50" s="2130"/>
      <c r="AA50" s="2130"/>
      <c r="AB50" s="2130"/>
      <c r="AC50" s="2131"/>
      <c r="AD50" s="2129"/>
      <c r="AE50" s="2130"/>
      <c r="AF50" s="2130"/>
      <c r="AG50" s="2130"/>
      <c r="AH50" s="2130"/>
      <c r="AI50" s="2130"/>
      <c r="AJ50" s="2130"/>
      <c r="AK50" s="2130"/>
      <c r="AL50" s="2130"/>
      <c r="AM50" s="2130"/>
      <c r="AN50" s="2130"/>
      <c r="AO50" s="2130"/>
      <c r="AP50" s="2130"/>
      <c r="AQ50" s="2130"/>
      <c r="AR50" s="2130"/>
      <c r="AS50" s="2130"/>
      <c r="AT50" s="2130"/>
      <c r="AU50" s="2130"/>
      <c r="AV50" s="2130"/>
      <c r="AW50" s="2130"/>
      <c r="AX50" s="2130"/>
      <c r="AY50" s="2130"/>
      <c r="AZ50" s="2130"/>
      <c r="BA50" s="2130"/>
      <c r="BB50" s="2131"/>
      <c r="BC50" s="1402"/>
      <c r="BE50" s="496"/>
      <c r="BF50" s="496" t="str">
        <f>IF(T50="","",T50)</f>
        <v/>
      </c>
      <c r="BG50" s="496"/>
      <c r="BH50" s="496"/>
    </row>
    <row s="1667" customFormat="1" customHeight="1" ht="0">
      <c r="A51" s="1360" t="s">
        <v>266</v>
      </c>
      <c r="B51" s="1360" t="s">
        <v>267</v>
      </c>
      <c r="C51" s="1360" t="s">
        <v>268</v>
      </c>
      <c r="D51" s="1360" t="s">
        <v>543</v>
      </c>
      <c r="E51" s="2090"/>
      <c r="F51" s="2090"/>
      <c r="G51" s="2090"/>
      <c r="H51" s="2090"/>
      <c r="I51" s="2092"/>
      <c r="J51" s="2091" t="str">
        <f>S49&amp;".1"</f>
        <v>.1</v>
      </c>
      <c r="K51" s="1360"/>
      <c r="L51" s="1363"/>
      <c r="M51" s="506"/>
      <c r="N51" s="506"/>
      <c r="O51" s="506"/>
      <c r="P51" s="2093"/>
      <c r="Q51" s="2093">
        <v>1</v>
      </c>
      <c r="R51" s="345"/>
      <c r="S51" s="1037"/>
      <c r="T51" s="1416"/>
      <c r="U51" s="1401"/>
      <c r="V51" s="2130"/>
      <c r="W51" s="2130"/>
      <c r="X51" s="2130"/>
      <c r="Y51" s="2130"/>
      <c r="Z51" s="2130"/>
      <c r="AA51" s="2130"/>
      <c r="AB51" s="2130"/>
      <c r="AC51" s="2131"/>
      <c r="AD51" s="2129"/>
      <c r="AE51" s="2130"/>
      <c r="AF51" s="2130"/>
      <c r="AG51" s="2130"/>
      <c r="AH51" s="2130"/>
      <c r="AI51" s="2130"/>
      <c r="AJ51" s="2130"/>
      <c r="AK51" s="2130"/>
      <c r="AL51" s="2130"/>
      <c r="AM51" s="2130"/>
      <c r="AN51" s="2191"/>
      <c r="AO51" s="2191"/>
      <c r="AP51" s="2130"/>
      <c r="AQ51" s="2130"/>
      <c r="AR51" s="2130"/>
      <c r="AS51" s="2130"/>
      <c r="AT51" s="2130"/>
      <c r="AU51" s="2130"/>
      <c r="AV51" s="2130"/>
      <c r="AW51" s="2130"/>
      <c r="AX51" s="2130"/>
      <c r="AY51" s="2130"/>
      <c r="AZ51" s="2130"/>
      <c r="BA51" s="2130"/>
      <c r="BB51" s="2131"/>
      <c r="BC51" s="1402"/>
      <c r="BE51" s="496"/>
      <c r="BF51" s="496" t="str">
        <f>IF(T51="","",T51)</f>
        <v/>
      </c>
      <c r="BG51" s="496"/>
      <c r="BH51" s="496"/>
    </row>
    <row customHeight="1" ht="11.25">
      <c r="A52" s="1380" t="s">
        <v>266</v>
      </c>
      <c r="B52" s="1380" t="s">
        <v>267</v>
      </c>
      <c r="C52" s="1380" t="s">
        <v>268</v>
      </c>
      <c r="D52" s="1380" t="s">
        <v>543</v>
      </c>
      <c r="E52" s="2090"/>
      <c r="F52" s="2090"/>
      <c r="G52" s="2090"/>
      <c r="H52" s="2090"/>
      <c r="I52" s="2092"/>
      <c r="J52" s="2092"/>
      <c r="K52" s="2091" t="str">
        <f>S48&amp;".1"</f>
        <v>...1</v>
      </c>
      <c r="L52" s="1381"/>
      <c r="P52" s="2093"/>
      <c r="Q52" s="2093"/>
      <c r="R52" s="345">
        <v>1</v>
      </c>
      <c r="S52" s="2166" t="str">
        <f>$K52</f>
        <v>...1</v>
      </c>
      <c r="T52" s="2185"/>
      <c r="U52" s="280"/>
      <c r="V52" s="746"/>
      <c r="W52" s="1272"/>
      <c r="X52" s="746"/>
      <c r="Y52" s="1272"/>
      <c r="Z52" s="1758"/>
      <c r="AA52" s="1486" t="s">
        <v>66</v>
      </c>
      <c r="AB52" s="1758"/>
      <c r="AC52" s="1486" t="s">
        <v>66</v>
      </c>
      <c r="AD52" s="2026" t="s">
        <v>66</v>
      </c>
      <c r="AE52" s="2162"/>
      <c r="AF52" s="2039">
        <v>1</v>
      </c>
      <c r="AG52" s="2184"/>
      <c r="AH52" s="1963" t="s">
        <v>66</v>
      </c>
      <c r="AI52" s="2162"/>
      <c r="AJ52" s="2039">
        <v>1</v>
      </c>
      <c r="AK52" s="2183" t="s">
        <v>24</v>
      </c>
      <c r="AL52" s="1963" t="s">
        <v>66</v>
      </c>
      <c r="AM52" s="2011"/>
      <c r="AN52" s="2039">
        <v>1</v>
      </c>
      <c r="AO52" s="2188"/>
      <c r="AP52" s="2189" t="s">
        <v>66</v>
      </c>
      <c r="AQ52" s="293"/>
      <c r="AR52" s="1503">
        <v>1</v>
      </c>
      <c r="AS52" s="1509" t="s">
        <v>24</v>
      </c>
      <c r="AT52" s="746"/>
      <c r="AU52" s="1272"/>
      <c r="AV52" s="746"/>
      <c r="AW52" s="1272"/>
      <c r="AX52" s="1758"/>
      <c r="AY52" s="1486" t="s">
        <v>66</v>
      </c>
      <c r="AZ52" s="1758"/>
      <c r="BA52" s="1486" t="s">
        <v>66</v>
      </c>
      <c r="BB52" s="1365"/>
      <c r="BC52" s="2119" t="s">
        <v>506</v>
      </c>
      <c r="BE52" s="496"/>
      <c r="BF52" s="496" t="str">
        <f>IF(T52="","",T52)</f>
        <v/>
      </c>
      <c r="BG52" s="496"/>
      <c r="BH52" s="496"/>
    </row>
    <row customHeight="1" ht="11.25">
      <c r="A53" s="1380"/>
      <c r="B53" s="1380"/>
      <c r="C53" s="1380"/>
      <c r="D53" s="1380"/>
      <c r="E53" s="2090"/>
      <c r="F53" s="2090"/>
      <c r="G53" s="2090"/>
      <c r="H53" s="2090"/>
      <c r="I53" s="2092"/>
      <c r="J53" s="2092"/>
      <c r="K53" s="2091"/>
      <c r="L53" s="1381"/>
      <c r="P53" s="2093"/>
      <c r="Q53" s="2093"/>
      <c r="R53" s="345"/>
      <c r="S53" s="2167"/>
      <c r="T53" s="2186"/>
      <c r="U53" s="280"/>
      <c r="V53" s="1410"/>
      <c r="W53" s="1513"/>
      <c r="X53" s="1410"/>
      <c r="Y53" s="1513"/>
      <c r="Z53" s="1410"/>
      <c r="AA53" s="1410"/>
      <c r="AB53" s="1410"/>
      <c r="AC53" s="1410"/>
      <c r="AD53" s="2027"/>
      <c r="AE53" s="2162"/>
      <c r="AF53" s="2039"/>
      <c r="AG53" s="2184"/>
      <c r="AH53" s="1963"/>
      <c r="AI53" s="2162"/>
      <c r="AJ53" s="2039"/>
      <c r="AK53" s="2183"/>
      <c r="AL53" s="1963"/>
      <c r="AM53" s="2019"/>
      <c r="AN53" s="2039"/>
      <c r="AO53" s="2188"/>
      <c r="AP53" s="2190"/>
      <c r="AQ53" s="300"/>
      <c r="AR53" s="413"/>
      <c r="AS53" s="413" t="s">
        <v>507</v>
      </c>
      <c r="AT53" s="1410"/>
      <c r="AU53" s="1513"/>
      <c r="AV53" s="1410"/>
      <c r="AW53" s="1513"/>
      <c r="AX53" s="1410"/>
      <c r="AY53" s="1410"/>
      <c r="AZ53" s="1410"/>
      <c r="BA53" s="1410"/>
      <c r="BB53" s="1414"/>
      <c r="BC53" s="2120"/>
      <c r="BE53" s="496"/>
      <c r="BF53" s="496"/>
      <c r="BG53" s="496"/>
      <c r="BH53" s="496"/>
    </row>
    <row customHeight="1" ht="11.25">
      <c r="A54" s="1380" t="s">
        <v>266</v>
      </c>
      <c r="B54" s="1380"/>
      <c r="C54" s="1380"/>
      <c r="D54" s="1380"/>
      <c r="E54" s="2090"/>
      <c r="F54" s="2090"/>
      <c r="G54" s="2090"/>
      <c r="H54" s="2090"/>
      <c r="I54" s="2092"/>
      <c r="J54" s="2092"/>
      <c r="K54" s="2091"/>
      <c r="L54" s="1381"/>
      <c r="P54" s="2093"/>
      <c r="Q54" s="2093"/>
      <c r="R54" s="345"/>
      <c r="S54" s="2167"/>
      <c r="T54" s="2186"/>
      <c r="U54" s="280"/>
      <c r="V54" s="1410"/>
      <c r="W54" s="1513"/>
      <c r="X54" s="1410"/>
      <c r="Y54" s="1513"/>
      <c r="Z54" s="1410"/>
      <c r="AA54" s="1410"/>
      <c r="AB54" s="1410"/>
      <c r="AC54" s="1410"/>
      <c r="AD54" s="2027"/>
      <c r="AE54" s="2162"/>
      <c r="AF54" s="2039"/>
      <c r="AG54" s="2184"/>
      <c r="AH54" s="1963"/>
      <c r="AI54" s="2162"/>
      <c r="AJ54" s="2039"/>
      <c r="AK54" s="2183"/>
      <c r="AL54" s="1963"/>
      <c r="AM54" s="300"/>
      <c r="AN54" s="1517"/>
      <c r="AO54" s="1517" t="s">
        <v>508</v>
      </c>
      <c r="AP54" s="413"/>
      <c r="AQ54" s="413"/>
      <c r="AR54" s="413"/>
      <c r="AS54" s="1410"/>
      <c r="AT54" s="1410"/>
      <c r="AU54" s="1513"/>
      <c r="AV54" s="1410"/>
      <c r="AW54" s="1513"/>
      <c r="AX54" s="1410"/>
      <c r="AY54" s="1410"/>
      <c r="AZ54" s="1410"/>
      <c r="BA54" s="1410"/>
      <c r="BB54" s="1414"/>
      <c r="BC54" s="2120"/>
      <c r="BE54" s="496"/>
      <c r="BF54" s="496"/>
      <c r="BG54" s="496"/>
      <c r="BH54" s="496"/>
    </row>
    <row customHeight="1" ht="11.25">
      <c r="A55" s="1380" t="s">
        <v>266</v>
      </c>
      <c r="B55" s="1380"/>
      <c r="C55" s="1380"/>
      <c r="D55" s="1380"/>
      <c r="E55" s="2090"/>
      <c r="F55" s="2090"/>
      <c r="G55" s="2090"/>
      <c r="H55" s="2090"/>
      <c r="I55" s="2092"/>
      <c r="J55" s="2092"/>
      <c r="K55" s="2091"/>
      <c r="L55" s="1381"/>
      <c r="P55" s="2093"/>
      <c r="Q55" s="2093"/>
      <c r="R55" s="345"/>
      <c r="S55" s="2167"/>
      <c r="T55" s="2186"/>
      <c r="U55" s="280"/>
      <c r="V55" s="1410"/>
      <c r="W55" s="1513"/>
      <c r="X55" s="1410"/>
      <c r="Y55" s="1513"/>
      <c r="Z55" s="1410"/>
      <c r="AA55" s="1410"/>
      <c r="AB55" s="1410"/>
      <c r="AC55" s="1410"/>
      <c r="AD55" s="2027"/>
      <c r="AE55" s="2162"/>
      <c r="AF55" s="2039"/>
      <c r="AG55" s="2184"/>
      <c r="AH55" s="1963"/>
      <c r="AI55" s="274"/>
      <c r="AJ55" s="412"/>
      <c r="AK55" s="295" t="s">
        <v>509</v>
      </c>
      <c r="AL55" s="1410"/>
      <c r="AM55" s="1410"/>
      <c r="AN55" s="1410"/>
      <c r="AO55" s="1410"/>
      <c r="AP55" s="1410"/>
      <c r="AQ55" s="1410"/>
      <c r="AR55" s="1410"/>
      <c r="AS55" s="1410"/>
      <c r="AT55" s="1410"/>
      <c r="AU55" s="1513"/>
      <c r="AV55" s="1410"/>
      <c r="AW55" s="1513"/>
      <c r="AX55" s="1410"/>
      <c r="AY55" s="1410"/>
      <c r="AZ55" s="1410"/>
      <c r="BA55" s="1410"/>
      <c r="BB55" s="1414"/>
      <c r="BC55" s="2120"/>
      <c r="BE55" s="496"/>
      <c r="BF55" s="496"/>
      <c r="BG55" s="496"/>
      <c r="BH55" s="496"/>
    </row>
    <row customHeight="1" ht="11.25">
      <c r="A56" s="1380" t="s">
        <v>266</v>
      </c>
      <c r="B56" s="1380" t="s">
        <v>267</v>
      </c>
      <c r="C56" s="1380" t="s">
        <v>268</v>
      </c>
      <c r="D56" s="1380" t="s">
        <v>543</v>
      </c>
      <c r="E56" s="2090"/>
      <c r="F56" s="2090"/>
      <c r="G56" s="2090"/>
      <c r="H56" s="2090"/>
      <c r="I56" s="2092"/>
      <c r="J56" s="2092"/>
      <c r="K56" s="2091"/>
      <c r="L56" s="1381"/>
      <c r="P56" s="2093"/>
      <c r="Q56" s="2093"/>
      <c r="R56" s="345"/>
      <c r="S56" s="2168"/>
      <c r="T56" s="2187"/>
      <c r="U56" s="280"/>
      <c r="V56" s="1410"/>
      <c r="W56" s="1411" t="str">
        <f>Z52&amp;"-"&amp;AB52</f>
        <v>-</v>
      </c>
      <c r="X56" s="1410"/>
      <c r="Y56" s="1411" t="str">
        <f>AB52&amp;"-"&amp;AD52</f>
        <v>-да</v>
      </c>
      <c r="Z56" s="1410"/>
      <c r="AA56" s="1410"/>
      <c r="AB56" s="1410"/>
      <c r="AC56" s="1410"/>
      <c r="AD56" s="1968"/>
      <c r="AE56" s="294"/>
      <c r="AF56" s="296"/>
      <c r="AG56" s="413" t="s">
        <v>510</v>
      </c>
      <c r="AH56" s="1410"/>
      <c r="AI56" s="1410"/>
      <c r="AJ56" s="1410"/>
      <c r="AK56" s="1410"/>
      <c r="AL56" s="1410"/>
      <c r="AM56" s="1410"/>
      <c r="AN56" s="1410"/>
      <c r="AO56" s="1410"/>
      <c r="AP56" s="1410"/>
      <c r="AQ56" s="1410"/>
      <c r="AR56" s="1410"/>
      <c r="AS56" s="1410"/>
      <c r="AT56" s="1410"/>
      <c r="AU56" s="1411" t="str">
        <f>AX52&amp;"-"&amp;AZ52</f>
        <v>-</v>
      </c>
      <c r="AV56" s="1410"/>
      <c r="AW56" s="1411" t="str">
        <f>AZ52&amp;"-"&amp;BB52</f>
        <v>-</v>
      </c>
      <c r="AX56" s="1410"/>
      <c r="AY56" s="1410"/>
      <c r="AZ56" s="1410"/>
      <c r="BA56" s="1410"/>
      <c r="BB56" s="1413" t="str">
        <f>BE52&amp;"-"&amp;BG52</f>
        <v>-</v>
      </c>
      <c r="BC56" s="2120"/>
      <c r="BE56" s="496"/>
      <c r="BF56" s="496" t="str">
        <f>IF(T56="","",T56)</f>
        <v/>
      </c>
      <c r="BG56" s="496"/>
      <c r="BH56" s="496"/>
    </row>
    <row customHeight="1" ht="11.25">
      <c r="A57" s="1380" t="s">
        <v>266</v>
      </c>
      <c r="B57" s="1380" t="s">
        <v>267</v>
      </c>
      <c r="C57" s="1380" t="s">
        <v>268</v>
      </c>
      <c r="D57" s="1380" t="s">
        <v>543</v>
      </c>
      <c r="E57" s="2090"/>
      <c r="F57" s="2090"/>
      <c r="G57" s="2090"/>
      <c r="H57" s="2090"/>
      <c r="I57" s="2092"/>
      <c r="J57" s="2091"/>
      <c r="K57" s="1380"/>
      <c r="L57" s="1381"/>
      <c r="P57" s="2093"/>
      <c r="Q57" s="2093"/>
      <c r="R57" s="344"/>
      <c r="S57" s="1295"/>
      <c r="T57" s="268" t="s">
        <v>474</v>
      </c>
      <c r="U57" s="359"/>
      <c r="V57" s="359"/>
      <c r="W57" s="359"/>
      <c r="X57" s="359"/>
      <c r="Y57" s="359"/>
      <c r="Z57" s="359"/>
      <c r="AA57" s="359"/>
      <c r="AB57" s="359"/>
      <c r="AC57" s="311"/>
      <c r="AD57" s="1522"/>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1"/>
      <c r="BE57" s="496"/>
      <c r="BF57" s="496" t="str">
        <f>IF(T57="","",T57)</f>
        <v>Добавить строку</v>
      </c>
      <c r="BG57" s="496"/>
      <c r="BH57" s="496"/>
    </row>
    <row s="1667" customFormat="1" customHeight="1" ht="0">
      <c r="A58" s="1360" t="s">
        <v>266</v>
      </c>
      <c r="B58" s="1360" t="s">
        <v>267</v>
      </c>
      <c r="C58" s="1360" t="s">
        <v>268</v>
      </c>
      <c r="D58" s="1360" t="s">
        <v>543</v>
      </c>
      <c r="E58" s="2090"/>
      <c r="F58" s="2090"/>
      <c r="G58" s="2090"/>
      <c r="H58" s="2090"/>
      <c r="I58" s="2091"/>
      <c r="J58" s="1360"/>
      <c r="K58" s="1360"/>
      <c r="L58" s="1363"/>
      <c r="M58" s="506"/>
      <c r="N58" s="506"/>
      <c r="O58" s="506"/>
      <c r="P58" s="2093"/>
      <c r="Q58" s="1498"/>
      <c r="R58" s="344"/>
      <c r="S58" s="1403"/>
      <c r="T58" s="1404"/>
      <c r="U58" s="1405"/>
      <c r="V58" s="1405"/>
      <c r="W58" s="1405"/>
      <c r="X58" s="1405"/>
      <c r="Y58" s="1405"/>
      <c r="Z58" s="1405"/>
      <c r="AA58" s="1405"/>
      <c r="AB58" s="1405"/>
      <c r="AC58" s="1405"/>
      <c r="AD58" s="1405"/>
      <c r="AE58" s="1405"/>
      <c r="AF58" s="1405"/>
      <c r="AG58" s="1405"/>
      <c r="AH58" s="1405"/>
      <c r="AI58" s="1405"/>
      <c r="AJ58" s="1405"/>
      <c r="AK58" s="1405"/>
      <c r="AL58" s="1405"/>
      <c r="AM58" s="1405"/>
      <c r="AN58" s="1405"/>
      <c r="AO58" s="1405"/>
      <c r="AP58" s="1405"/>
      <c r="AQ58" s="1405"/>
      <c r="AR58" s="1405"/>
      <c r="AS58" s="1405"/>
      <c r="AT58" s="1405"/>
      <c r="AU58" s="1405"/>
      <c r="AV58" s="1405"/>
      <c r="AW58" s="1405"/>
      <c r="AX58" s="1405"/>
      <c r="AY58" s="1405"/>
      <c r="AZ58" s="1405"/>
      <c r="BA58" s="1405"/>
      <c r="BB58" s="1405"/>
      <c r="BC58" s="1406"/>
      <c r="BE58" s="496"/>
      <c r="BF58" s="496" t="str">
        <f>IF(T58="","",T58)</f>
        <v/>
      </c>
      <c r="BG58" s="496"/>
      <c r="BH58" s="496"/>
    </row>
    <row s="1667" customFormat="1" customHeight="1" ht="0">
      <c r="A59" s="1360" t="s">
        <v>266</v>
      </c>
      <c r="B59" s="1360" t="s">
        <v>267</v>
      </c>
      <c r="C59" s="1360" t="s">
        <v>268</v>
      </c>
      <c r="D59" s="1360" t="s">
        <v>543</v>
      </c>
      <c r="E59" s="2090"/>
      <c r="F59" s="2090"/>
      <c r="G59" s="2090"/>
      <c r="H59" s="2089"/>
      <c r="I59" s="1360"/>
      <c r="J59" s="1360"/>
      <c r="K59" s="1360"/>
      <c r="L59" s="1363"/>
      <c r="M59" s="1332"/>
      <c r="N59" s="1332"/>
      <c r="O59" s="514"/>
      <c r="P59" s="376"/>
      <c r="Q59" s="1361"/>
      <c r="R59" s="1418"/>
      <c r="S59" s="1403"/>
      <c r="T59" s="1404"/>
      <c r="U59" s="1405"/>
      <c r="V59" s="1405"/>
      <c r="W59" s="1405"/>
      <c r="X59" s="1405"/>
      <c r="Y59" s="1405"/>
      <c r="Z59" s="1405"/>
      <c r="AA59" s="1405"/>
      <c r="AB59" s="1405"/>
      <c r="AC59" s="1405"/>
      <c r="AD59" s="1405"/>
      <c r="AE59" s="1405"/>
      <c r="AF59" s="1405"/>
      <c r="AG59" s="1405"/>
      <c r="AH59" s="1405"/>
      <c r="AI59" s="1405"/>
      <c r="AJ59" s="1405"/>
      <c r="AK59" s="1405"/>
      <c r="AL59" s="1405"/>
      <c r="AM59" s="1405"/>
      <c r="AN59" s="1405"/>
      <c r="AO59" s="1405"/>
      <c r="AP59" s="1405"/>
      <c r="AQ59" s="1405"/>
      <c r="AR59" s="1405"/>
      <c r="AS59" s="1405"/>
      <c r="AT59" s="1405"/>
      <c r="AU59" s="1405"/>
      <c r="AV59" s="1405"/>
      <c r="AW59" s="1405"/>
      <c r="AX59" s="1405"/>
      <c r="AY59" s="1405"/>
      <c r="AZ59" s="1405"/>
      <c r="BA59" s="1405"/>
      <c r="BB59" s="1405"/>
      <c r="BC59" s="1406"/>
      <c r="BE59" s="496"/>
      <c r="BF59" s="496" t="str">
        <f>IF(T59="","",T59)</f>
        <v/>
      </c>
      <c r="BG59" s="496"/>
      <c r="BH59" s="496"/>
    </row>
    <row s="1667" customFormat="1" customHeight="1" ht="0">
      <c r="A60" s="1360" t="s">
        <v>266</v>
      </c>
      <c r="B60" s="1360" t="s">
        <v>267</v>
      </c>
      <c r="C60" s="1360" t="s">
        <v>268</v>
      </c>
      <c r="D60" s="1331"/>
      <c r="E60" s="2090"/>
      <c r="F60" s="2090"/>
      <c r="G60" s="2089"/>
      <c r="H60" s="1331"/>
      <c r="I60" s="1331"/>
      <c r="J60" s="1331"/>
      <c r="K60" s="1331"/>
      <c r="L60" s="1511"/>
      <c r="M60" s="1332"/>
      <c r="N60" s="1332"/>
      <c r="P60" s="1333"/>
      <c r="Q60" s="1334"/>
      <c r="R60" s="1333"/>
      <c r="S60" s="1339"/>
      <c r="T60" s="1342"/>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V60" s="1341"/>
      <c r="AW60" s="1341"/>
      <c r="AX60" s="1341"/>
      <c r="AY60" s="1341"/>
      <c r="AZ60" s="1341"/>
      <c r="BA60" s="1341"/>
      <c r="BB60" s="1341"/>
      <c r="BC60" s="1341"/>
      <c r="BE60" s="783"/>
      <c r="BF60" s="783" t="str">
        <f>IF(T60="","",T60)</f>
        <v/>
      </c>
      <c r="BG60" s="783"/>
      <c r="BH60" s="783"/>
    </row>
    <row s="1667" customFormat="1" customHeight="1" ht="0">
      <c r="A61" s="1360" t="s">
        <v>266</v>
      </c>
      <c r="B61" s="1360" t="s">
        <v>267</v>
      </c>
      <c r="C61" s="1331"/>
      <c r="D61" s="1331"/>
      <c r="E61" s="2090"/>
      <c r="F61" s="2089"/>
      <c r="G61" s="1331"/>
      <c r="H61" s="1331"/>
      <c r="I61" s="1331"/>
      <c r="J61" s="1331"/>
      <c r="K61" s="1331"/>
      <c r="L61" s="1511"/>
      <c r="M61" s="1338"/>
      <c r="N61" s="1338"/>
      <c r="P61" s="1333"/>
      <c r="Q61" s="1334"/>
      <c r="R61" s="1333"/>
      <c r="S61" s="1339"/>
      <c r="T61" s="1342" t="s">
        <v>167</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V61" s="1341"/>
      <c r="AW61" s="1341"/>
      <c r="AX61" s="1341"/>
      <c r="AY61" s="1341"/>
      <c r="AZ61" s="1341"/>
      <c r="BA61" s="1341"/>
      <c r="BB61" s="1341"/>
      <c r="BC61" s="1341"/>
      <c r="BE61" s="783"/>
      <c r="BF61" s="783" t="str">
        <f>IF(T61="","",T61)</f>
        <v>Добавить централизованную систему для дифференциации</v>
      </c>
      <c r="BG61" s="783"/>
      <c r="BH61" s="783"/>
    </row>
    <row s="1667" customFormat="1" customHeight="1" ht="0">
      <c r="A62" s="1360" t="s">
        <v>266</v>
      </c>
      <c r="B62" s="1360"/>
      <c r="C62" s="1360"/>
      <c r="D62" s="1360"/>
      <c r="E62" s="2089"/>
      <c r="F62" s="1360"/>
      <c r="G62" s="1360"/>
      <c r="H62" s="1360"/>
      <c r="I62" s="1360"/>
      <c r="J62" s="1360"/>
      <c r="K62" s="1360"/>
      <c r="L62" s="1363"/>
      <c r="M62" s="1338"/>
      <c r="N62" s="1338"/>
      <c r="O62" s="514"/>
      <c r="P62" s="376"/>
      <c r="Q62" s="1361"/>
      <c r="R62" s="376"/>
      <c r="S62" s="1339"/>
      <c r="T62" s="1342" t="s">
        <v>168</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V62" s="1341"/>
      <c r="AW62" s="1341"/>
      <c r="AX62" s="1341"/>
      <c r="AY62" s="1341"/>
      <c r="AZ62" s="1341"/>
      <c r="BA62" s="1341"/>
      <c r="BB62" s="1341"/>
      <c r="BC62" s="1341"/>
      <c r="BE62" s="496"/>
      <c r="BF62" s="496" t="str">
        <f>IF(T62="","",T62)</f>
        <v>Добавить территорию для дифференциации</v>
      </c>
      <c r="BG62" s="496"/>
      <c r="BH62" s="496"/>
    </row>
    <row s="1667" customFormat="1" customHeight="1" ht="0">
      <c r="A63" s="1331"/>
      <c r="B63" s="1331"/>
      <c r="C63" s="1331"/>
      <c r="D63" s="1331"/>
      <c r="E63" s="1360"/>
      <c r="F63" s="1331"/>
      <c r="G63" s="1331"/>
      <c r="H63" s="1331"/>
      <c r="I63" s="1331"/>
      <c r="J63" s="1331"/>
      <c r="K63" s="1331"/>
      <c r="L63" s="1511"/>
      <c r="M63" s="1338"/>
      <c r="N63" s="1338"/>
      <c r="P63" s="1333"/>
      <c r="Q63" s="1334"/>
      <c r="R63" s="1333"/>
      <c r="S63" s="1339"/>
      <c r="T63" s="1342" t="s">
        <v>180</v>
      </c>
      <c r="U63" s="1341"/>
      <c r="V63" s="1341"/>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R63" s="1341"/>
      <c r="AS63" s="1341"/>
      <c r="AT63" s="1341"/>
      <c r="AU63" s="1341"/>
      <c r="AV63" s="1341"/>
      <c r="AW63" s="1341"/>
      <c r="AX63" s="1341"/>
      <c r="AY63" s="1341"/>
      <c r="AZ63" s="1341"/>
      <c r="BA63" s="1341"/>
      <c r="BB63" s="1341"/>
      <c r="BC63" s="1341"/>
      <c r="BE63" s="783"/>
      <c r="BF63" s="783" t="str">
        <f>IF(T63="","",T63)</f>
        <v>Добавить наименование тарифа</v>
      </c>
      <c r="BG63" s="783"/>
      <c r="BH63" s="783"/>
    </row>
    <row customHeight="1" ht="11.25">
      <c r="M64" s="1155"/>
      <c r="N64" s="1155"/>
      <c r="O64" s="533"/>
      <c r="P64" s="1155"/>
      <c r="Q64" s="1155"/>
      <c r="R64" s="1150"/>
      <c r="S64" s="1150"/>
      <c r="BD64" s="1150"/>
      <c r="BE64" s="1150"/>
      <c r="BF64" s="1150"/>
      <c r="BG64" s="1150"/>
      <c r="BH64" s="1150"/>
    </row>
    <row customHeight="1" ht="18.75">
      <c r="O65" s="533"/>
      <c r="S65" s="1260"/>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088"/>
      <c r="AU65" s="2088"/>
      <c r="AV65" s="2088"/>
      <c r="AW65" s="2088"/>
      <c r="AX65" s="2088"/>
      <c r="AY65" s="2088"/>
      <c r="AZ65" s="2088"/>
      <c r="BA65" s="2088"/>
      <c r="BB65" s="2088"/>
      <c r="BC65" s="2088"/>
    </row>
    <row customHeight="1" ht="14.25">
      <c r="O66" s="533"/>
      <c r="T66" s="1497"/>
      <c r="U66" s="1497"/>
      <c r="V66" s="1497"/>
      <c r="W66" s="1497"/>
      <c r="X66" s="1497"/>
      <c r="Y66" s="1497"/>
      <c r="Z66" s="1497"/>
      <c r="AA66" s="1497"/>
      <c r="AB66" s="1497"/>
      <c r="AC66" s="1497"/>
      <c r="AD66" s="1497"/>
      <c r="AE66" s="1497"/>
      <c r="AF66" s="1497"/>
      <c r="AG66" s="1497"/>
      <c r="AH66" s="1497"/>
      <c r="AI66" s="1497"/>
      <c r="AJ66" s="1497"/>
      <c r="AK66" s="1497"/>
      <c r="AL66" s="1497"/>
      <c r="AM66" s="1497"/>
      <c r="AN66" s="1497"/>
      <c r="AO66" s="1497"/>
      <c r="AP66" s="1497"/>
      <c r="AQ66" s="1497"/>
      <c r="AR66" s="1497"/>
      <c r="AS66" s="1497"/>
      <c r="AT66" s="1497"/>
      <c r="AU66" s="1497"/>
      <c r="AV66" s="1497"/>
      <c r="AW66" s="1497"/>
      <c r="AX66" s="1497"/>
      <c r="AY66" s="1497"/>
      <c r="AZ66" s="1497"/>
      <c r="BA66" s="1497"/>
      <c r="BB66" s="1497"/>
      <c r="BC66" s="1497"/>
    </row>
    <row customHeight="1" ht="18.75">
      <c r="O67" s="533"/>
      <c r="S67" s="1260"/>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088"/>
      <c r="AU67" s="2088"/>
      <c r="AV67" s="2088"/>
      <c r="AW67" s="2088"/>
      <c r="AX67" s="2088"/>
      <c r="AY67" s="2088"/>
      <c r="AZ67" s="2088"/>
      <c r="BA67" s="2088"/>
      <c r="BB67" s="2088"/>
      <c r="BC67" s="2088"/>
    </row>
    <row customHeight="1" ht="14.25">
      <c r="O68" s="53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4FD014-82D1-434C-7066-D9C047B69F1C}"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982" width="10.7109375" hidden="1" customWidth="1"/>
    <col min="2" max="2" style="1383" width="16.8515625" hidden="1" customWidth="1"/>
    <col min="3" max="3" style="1667" width="5.57421875" hidden="1" customWidth="1"/>
    <col min="4" max="4" style="1660" width="3.7109375" customWidth="1"/>
    <col min="5" max="5" style="1660" width="7.7109375" customWidth="1"/>
    <col min="6" max="6" style="1660" width="54.57421875" customWidth="1"/>
    <col min="7" max="7" style="1660" width="10.421875" customWidth="1"/>
    <col min="8" max="8" style="1660" width="40.7109375" hidden="1" customWidth="1"/>
    <col min="9" max="9" style="1660" width="40.7109375" customWidth="1"/>
    <col min="10" max="10" style="1660" width="102.8515625" customWidth="1"/>
    <col min="11" max="11" style="1383" width="9.7109375" customWidth="1"/>
    <col min="12" max="12" style="1667" width="5.28125" customWidth="1"/>
    <col min="13" max="13" style="1667" width="3.7109375" customWidth="1"/>
    <col min="14" max="17" style="1383" width="3.7109375" customWidth="1"/>
    <col min="18" max="18" style="1667" width="10.57421875" customWidth="1"/>
    <col min="19" max="19" style="1383" width="34.7109375" customWidth="1"/>
    <col min="20" max="20" style="1383" width="9.421875" customWidth="1"/>
    <col min="21" max="21" style="731" width="9.140625"/>
    <col min="22" max="26" style="1383" width="9.140625"/>
    <col min="27" max="31" style="1657" width="9.140625"/>
  </cols>
  <sheetData>
    <row customHeight="1" ht="11.25" hidden="1"/>
    <row customHeight="1" ht="23.25" hidden="1">
      <c r="B2" s="1935"/>
      <c r="C2" s="1162" t="s">
        <v>544</v>
      </c>
      <c r="D2" s="1663"/>
      <c r="E2" s="542">
        <f>B2</f>
        <v>0</v>
      </c>
      <c r="F2" s="543"/>
      <c r="G2" s="1671" t="s">
        <v>545</v>
      </c>
      <c r="H2" s="1671" t="s">
        <v>545</v>
      </c>
      <c r="I2" s="1671" t="s">
        <v>545</v>
      </c>
      <c r="J2" s="270" t="s">
        <v>546</v>
      </c>
      <c r="K2" s="539"/>
    </row>
    <row s="1667" customFormat="1" customHeight="1" ht="0.75" hidden="1">
      <c r="B3" s="1935"/>
      <c r="C3" s="1162"/>
      <c r="D3" s="544"/>
      <c r="E3" s="545"/>
      <c r="F3" s="546" t="s">
        <v>547</v>
      </c>
      <c r="G3" s="547"/>
      <c r="H3" s="547">
        <f>H4*H5+H7</f>
        <v>0</v>
      </c>
      <c r="I3" s="547">
        <f>I4*I5+I6</f>
        <v>0</v>
      </c>
      <c r="J3" s="548"/>
    </row>
    <row customHeight="1" ht="23.25" hidden="1">
      <c r="B4" s="1935"/>
      <c r="C4" s="1162"/>
      <c r="D4" s="1663"/>
      <c r="E4" s="542" t="str">
        <f>B2&amp;".1"</f>
        <v>.1</v>
      </c>
      <c r="F4" s="549" t="s">
        <v>548</v>
      </c>
      <c r="G4" s="550"/>
      <c r="H4" s="537"/>
      <c r="I4" s="537"/>
      <c r="J4" s="270" t="s">
        <v>549</v>
      </c>
      <c r="K4" s="539"/>
    </row>
    <row customHeight="1" ht="18.75" hidden="1">
      <c r="B5" s="1935"/>
      <c r="C5" s="1162"/>
      <c r="D5" s="1663"/>
      <c r="E5" s="542" t="str">
        <f>B2&amp;".2"</f>
        <v>.2</v>
      </c>
      <c r="F5" s="549" t="s">
        <v>550</v>
      </c>
      <c r="G5" s="1671" t="s">
        <v>551</v>
      </c>
      <c r="H5" s="537"/>
      <c r="I5" s="537"/>
      <c r="J5" s="270"/>
      <c r="K5" s="539"/>
    </row>
    <row customHeight="1" ht="18.75" hidden="1">
      <c r="B6" s="1935"/>
      <c r="C6" s="1162"/>
      <c r="D6" s="1663"/>
      <c r="E6" s="542" t="str">
        <f>B2&amp;".3"</f>
        <v>.3</v>
      </c>
      <c r="F6" s="549" t="s">
        <v>552</v>
      </c>
      <c r="G6" s="1671" t="s">
        <v>551</v>
      </c>
      <c r="H6" s="537"/>
      <c r="I6" s="537"/>
      <c r="J6" s="270"/>
      <c r="K6" s="539"/>
    </row>
    <row customHeight="1" ht="18.75" hidden="1">
      <c r="B7" s="1935"/>
      <c r="C7" s="1162"/>
      <c r="D7" s="1663"/>
      <c r="E7" s="542" t="str">
        <f>B2&amp;".4"</f>
        <v>.4</v>
      </c>
      <c r="F7" s="549" t="s">
        <v>553</v>
      </c>
      <c r="G7" s="1671" t="s">
        <v>545</v>
      </c>
      <c r="H7" s="551"/>
      <c r="I7" s="551"/>
      <c r="J7" s="270"/>
      <c r="K7" s="539"/>
    </row>
    <row s="1383" customFormat="1" customHeight="1" ht="11.25" hidden="1">
      <c r="A8" s="982"/>
      <c r="C8" s="1661"/>
      <c r="D8" s="533"/>
      <c r="H8" s="1155">
        <v>4</v>
      </c>
      <c r="I8" s="1155">
        <v>4</v>
      </c>
      <c r="L8" s="1661"/>
      <c r="M8" s="1661"/>
      <c r="R8" s="1661"/>
    </row>
    <row s="1383" customFormat="1" customHeight="1" ht="22.5" hidden="1">
      <c r="A9" s="982"/>
      <c r="C9" s="1661"/>
      <c r="D9" s="534"/>
      <c r="E9" s="1673"/>
      <c r="F9" s="536"/>
      <c r="G9" s="1671" t="s">
        <v>551</v>
      </c>
      <c r="H9" s="537"/>
      <c r="I9" s="537"/>
      <c r="J9" s="538" t="s">
        <v>554</v>
      </c>
      <c r="K9" s="539"/>
      <c r="L9" s="1661"/>
      <c r="M9" s="1661"/>
      <c r="R9" s="1661"/>
      <c r="U9" s="540"/>
      <c r="AA9" s="1657"/>
      <c r="AB9" s="1657"/>
      <c r="AC9" s="1657"/>
      <c r="AD9" s="1657"/>
      <c r="AE9" s="1657"/>
    </row>
    <row customHeight="1" ht="11.25" hidden="1"/>
    <row customHeight="1" ht="18.75" hidden="1">
      <c r="D11" s="1663"/>
      <c r="E11" s="542"/>
      <c r="F11" s="536"/>
      <c r="G11" s="1671" t="s">
        <v>555</v>
      </c>
      <c r="H11" s="537"/>
      <c r="I11" s="537"/>
      <c r="J11" s="270" t="s">
        <v>556</v>
      </c>
      <c r="K11" s="539"/>
    </row>
    <row customHeight="1" ht="11.25" hidden="1"/>
    <row customHeight="1" ht="22.5" hidden="1">
      <c r="D13" s="1663"/>
      <c r="E13" s="542"/>
      <c r="F13" s="536"/>
      <c r="G13" s="964" t="s">
        <v>557</v>
      </c>
      <c r="H13" s="541"/>
      <c r="I13" s="541"/>
      <c r="J13" s="740" t="s">
        <v>558</v>
      </c>
      <c r="K13" s="539"/>
    </row>
    <row customHeight="1" ht="11.25" hidden="1"/>
    <row customHeight="1" ht="22.5" hidden="1">
      <c r="D15" s="1663"/>
      <c r="E15" s="542"/>
      <c r="F15" s="536"/>
      <c r="G15" s="1671" t="s">
        <v>559</v>
      </c>
      <c r="H15" s="541"/>
      <c r="I15" s="541"/>
      <c r="J15" s="270" t="s">
        <v>560</v>
      </c>
      <c r="K15" s="539"/>
    </row>
    <row customHeight="1" ht="11.25" hidden="1"/>
    <row customHeight="1" ht="22.5" hidden="1">
      <c r="D17" s="1663"/>
      <c r="E17" s="542"/>
      <c r="F17" s="536"/>
      <c r="G17" s="1671" t="s">
        <v>561</v>
      </c>
      <c r="H17" s="541"/>
      <c r="I17" s="541"/>
      <c r="J17" s="270" t="s">
        <v>562</v>
      </c>
      <c r="K17" s="539"/>
    </row>
    <row customHeight="1" ht="11.25" hidden="1"/>
    <row s="1657" customFormat="1" customHeight="1" ht="11.25" hidden="1">
      <c r="A19" s="982"/>
      <c r="B19" s="1155"/>
      <c r="C19" s="1661"/>
      <c r="D19" s="352"/>
      <c r="J19" s="1657">
        <v>4</v>
      </c>
      <c r="K19" s="1155"/>
      <c r="L19" s="1661"/>
      <c r="M19" s="1661"/>
      <c r="N19" s="1155"/>
      <c r="O19" s="1155"/>
      <c r="P19" s="1155"/>
      <c r="Q19" s="1155"/>
      <c r="R19" s="1661"/>
      <c r="S19" s="1155"/>
      <c r="T19" s="1155"/>
      <c r="U19" s="540"/>
      <c r="V19" s="1155"/>
      <c r="W19" s="1155"/>
      <c r="X19" s="1155"/>
      <c r="Y19" s="1155"/>
      <c r="Z19" s="1155"/>
    </row>
    <row r="21" customHeight="1" ht="24">
      <c r="E21" s="2122"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22"/>
      <c r="G21" s="2122"/>
      <c r="H21" s="2122"/>
      <c r="I21" s="2122"/>
      <c r="J21" s="552"/>
    </row>
    <row customHeight="1" ht="24">
      <c r="E22" s="2123" t="str">
        <f>IF(org=0,"Не определено",org)</f>
        <v>ООО "ПРОМ ИМПУЛЬС"</v>
      </c>
      <c r="F22" s="2123"/>
      <c r="G22" s="2123"/>
      <c r="H22" s="2123"/>
      <c r="I22" s="2123"/>
    </row>
    <row customHeight="1" ht="11.25">
      <c r="E23" s="1130"/>
      <c r="F23" s="1130"/>
      <c r="G23" s="1130"/>
      <c r="H23" s="1130"/>
      <c r="I23" s="1130"/>
    </row>
    <row s="1667" customFormat="1" customHeight="1" ht="0.75">
      <c r="A24" s="1162"/>
      <c r="D24" s="1667"/>
      <c r="H24" s="883"/>
      <c r="I24" s="883" t="s">
        <v>116</v>
      </c>
    </row>
    <row customHeight="1" ht="11.25">
      <c r="E25" s="706"/>
      <c r="F25" s="2195" t="s">
        <v>104</v>
      </c>
      <c r="G25" s="2196"/>
      <c r="H25" s="1677" t="str">
        <f>IF(H24="","",INDEX(DIFFERENTIATION_UNMERGE_VD,MATCH(H24,DIFFERENTIATION_ID_DIFF,0)))</f>
        <v/>
      </c>
      <c r="I25" s="1677">
        <f>IF(I24="","",INDEX(DIFFERENTIATION_UNMERGE_VD,MATCH(I24,DIFFERENTIATION_ID_DIFF,0)))</f>
        <v>0</v>
      </c>
      <c r="J25" s="1953"/>
    </row>
    <row customHeight="1" ht="11.25">
      <c r="E26" s="706"/>
      <c r="F26" s="2195" t="s">
        <v>563</v>
      </c>
      <c r="G26" s="2196"/>
      <c r="H26" s="1677" t="str">
        <f>IF(H24="","",INDEX(DIFFERENTIATION_UNMERGE_AREA,MATCH(H24,DIFFERENTIATION_ID_DIFF,0)))</f>
        <v/>
      </c>
      <c r="I26" s="1677" t="str">
        <f>IF(I24="","",INDEX(DIFFERENTIATION_UNMERGE_AREA,MATCH(I24,DIFFERENTIATION_ID_DIFF,0)))</f>
        <v/>
      </c>
      <c r="J26" s="1953"/>
    </row>
    <row customHeight="1" ht="11.25">
      <c r="E27" s="706"/>
      <c r="F27" s="2195" t="s">
        <v>564</v>
      </c>
      <c r="G27" s="2196"/>
      <c r="H27" s="1677" t="str">
        <f>IF(H24="","",INDEX(DIFFERENTIATION_UNMERGE_SYSTEM,MATCH(H24,DIFFERENTIATION_ID_DIFF,0)))</f>
        <v/>
      </c>
      <c r="I27" s="1677" t="str">
        <f>IF(I24="","",INDEX(DIFFERENTIATION_UNMERGE_SYSTEM,MATCH(I24,DIFFERENTIATION_ID_DIFF,0)))</f>
        <v>без дифференциации</v>
      </c>
      <c r="J27" s="1953"/>
    </row>
    <row customHeight="1" ht="11.25">
      <c r="E28" s="2197" t="s">
        <v>305</v>
      </c>
      <c r="F28" s="2198"/>
      <c r="G28" s="2198"/>
      <c r="H28" s="1670"/>
      <c r="I28" s="1670"/>
      <c r="J28" s="1953"/>
    </row>
    <row customHeight="1" ht="22.5">
      <c r="E29" s="1671" t="s">
        <v>87</v>
      </c>
      <c r="F29" s="1678" t="s">
        <v>307</v>
      </c>
      <c r="G29" s="1678" t="s">
        <v>565</v>
      </c>
      <c r="H29" s="1678" t="s">
        <v>308</v>
      </c>
      <c r="I29" s="1678" t="s">
        <v>308</v>
      </c>
      <c r="J29" s="1953"/>
    </row>
    <row customHeight="1" ht="18.75">
      <c r="D30" s="1663"/>
      <c r="E30" s="542">
        <f>FHD_NUM_P_1</f>
        <v>1</v>
      </c>
      <c r="F30" s="1905" t="str">
        <f>FHD_P_1</f>
        <v>Выручка от регулируемого вида деятельности с распределением по видам деятельности</v>
      </c>
      <c r="G30" s="1903" t="s">
        <v>551</v>
      </c>
      <c r="H30" s="553"/>
      <c r="I30" s="553"/>
      <c r="J30" s="270" t="str">
        <f>FHD_NOTE_P_1</f>
        <v>Указывается выручка от регулируемого вида деятельности с распределением по видам деятельности.</v>
      </c>
      <c r="K30" s="539"/>
    </row>
    <row customHeight="1" ht="11.25">
      <c r="D31" s="1663"/>
      <c r="E31" s="542">
        <f>FHD_NUM_P_2</f>
        <v>2</v>
      </c>
      <c r="F31" s="1905" t="str">
        <f>FHD_P_2</f>
        <v>Себестоимость производимых товаров (оказываемых услуг) по регулируемому виду деятельности, включая:</v>
      </c>
      <c r="G31" s="1903" t="s">
        <v>551</v>
      </c>
      <c r="H31" s="554">
        <f>SUMIF($K33:$K71,$K31,H33:H71)</f>
        <v>0</v>
      </c>
      <c r="I31" s="554">
        <f>SUMIF($K33:$K71,$K31,I33:I71)</f>
        <v>0</v>
      </c>
      <c r="J31" s="270" t="str">
        <f>FHD_NOTE_P_2</f>
        <v>Указывается суммарная себестоимость производимых товаров.</v>
      </c>
      <c r="K31" s="1661" t="s">
        <v>566</v>
      </c>
    </row>
    <row customHeight="1" ht="11.25">
      <c r="D32" s="1663"/>
      <c r="E32" s="542" t="str">
        <f>FHD_NUM_P_3</f>
        <v>2.1</v>
      </c>
      <c r="F32" s="1541" t="str">
        <f>FHD_P_3</f>
        <v>Расходы на приобретаемую тепловую энергию (мощность), теплоноситель</v>
      </c>
      <c r="G32" s="1903" t="s">
        <v>551</v>
      </c>
      <c r="H32" s="553"/>
      <c r="I32" s="553"/>
      <c r="J32" s="270" t="str">
        <f>FHD_NOTE_P_3</f>
        <v/>
      </c>
      <c r="K32" s="1661" t="str">
        <f>IF((LEN(E32)-LEN(SUBSTITUTE(E32,".","")))/LEN(".")=1,"p","")</f>
        <v>p</v>
      </c>
    </row>
    <row customHeight="1" ht="11.25">
      <c r="A33" s="2192" t="s">
        <v>567</v>
      </c>
      <c r="D33" s="1663"/>
      <c r="E33" s="542" t="str">
        <f>FHD_NUM_P_4</f>
        <v>2.2</v>
      </c>
      <c r="F33" s="1541"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03" t="s">
        <v>551</v>
      </c>
      <c r="H33" s="554">
        <f>SUMIF($F34:$F40,$F3,H34:H40)</f>
        <v>0</v>
      </c>
      <c r="I33" s="554">
        <f>SUMIF($F34:$F40,$F3,I34:I40)</f>
        <v>0</v>
      </c>
      <c r="J33" s="270" t="str">
        <f>FHD_NOTE_P_4</f>
        <v>Указываются суммарные расходы на приобретение топлива всех видов.</v>
      </c>
      <c r="K33" s="1661" t="str">
        <f>IF((LEN(E33)-LEN(SUBSTITUTE(E33,".","")))/LEN(".")=1,"p","")</f>
        <v>p</v>
      </c>
    </row>
    <row s="1666" customFormat="1" customHeight="1" ht="0.75">
      <c r="A34" s="2192"/>
      <c r="B34" s="2193" t="str">
        <f>E33&amp;".0"</f>
        <v>2.2.0</v>
      </c>
      <c r="C34" s="1162"/>
      <c r="D34" s="556"/>
      <c r="E34" s="557"/>
      <c r="F34" s="558"/>
      <c r="G34" s="559"/>
      <c r="H34" s="493"/>
      <c r="I34" s="493"/>
      <c r="J34" s="560"/>
      <c r="K34" s="1661" t="str">
        <f>IF((LEN(E34)-LEN(SUBSTITUTE(E34,".","")))/LEN(".")=1,"p","")</f>
        <v/>
      </c>
      <c r="L34" s="1661"/>
      <c r="M34" s="1661"/>
      <c r="N34" s="1661"/>
      <c r="O34" s="1661"/>
      <c r="P34" s="1661"/>
      <c r="Q34" s="1661"/>
      <c r="R34" s="1661"/>
      <c r="S34" s="1661"/>
      <c r="T34" s="1661"/>
      <c r="U34" s="561"/>
      <c r="V34" s="1661"/>
      <c r="W34" s="1661"/>
      <c r="X34" s="1661"/>
      <c r="Y34" s="1661"/>
      <c r="Z34" s="1661"/>
      <c r="AA34" s="562"/>
      <c r="AB34" s="562"/>
      <c r="AC34" s="562"/>
      <c r="AD34" s="562"/>
      <c r="AE34" s="562"/>
    </row>
    <row s="1666" customFormat="1" customHeight="1" ht="0.75">
      <c r="A35" s="2192"/>
      <c r="B35" s="2193"/>
      <c r="C35" s="1162"/>
      <c r="D35" s="556"/>
      <c r="E35" s="563"/>
      <c r="F35" s="564"/>
      <c r="G35" s="559"/>
      <c r="H35" s="565"/>
      <c r="I35" s="565"/>
      <c r="J35" s="560"/>
      <c r="K35" s="1661" t="str">
        <f>IF((LEN(E35)-LEN(SUBSTITUTE(E35,".","")))/LEN(".")=1,"p","")</f>
        <v/>
      </c>
      <c r="L35" s="1661"/>
      <c r="M35" s="1661"/>
      <c r="N35" s="1661"/>
      <c r="O35" s="1661"/>
      <c r="P35" s="1661"/>
      <c r="Q35" s="1661"/>
      <c r="R35" s="1661"/>
      <c r="S35" s="1661"/>
      <c r="T35" s="1661"/>
      <c r="U35" s="561"/>
      <c r="V35" s="1661"/>
      <c r="W35" s="1661"/>
      <c r="X35" s="1661"/>
      <c r="Y35" s="1661"/>
      <c r="Z35" s="1661"/>
      <c r="AA35" s="562"/>
      <c r="AB35" s="562"/>
      <c r="AC35" s="562"/>
      <c r="AD35" s="562"/>
      <c r="AE35" s="562"/>
    </row>
    <row s="1666" customFormat="1" customHeight="1" ht="0.75">
      <c r="A36" s="2192"/>
      <c r="B36" s="2193"/>
      <c r="C36" s="1162"/>
      <c r="D36" s="556"/>
      <c r="E36" s="563"/>
      <c r="F36" s="564"/>
      <c r="G36" s="559"/>
      <c r="H36" s="565"/>
      <c r="I36" s="565"/>
      <c r="J36" s="560"/>
      <c r="K36" s="1661" t="str">
        <f>IF((LEN(E36)-LEN(SUBSTITUTE(E36,".","")))/LEN(".")=1,"p","")</f>
        <v/>
      </c>
      <c r="L36" s="1661"/>
      <c r="M36" s="1661"/>
      <c r="N36" s="1661"/>
      <c r="O36" s="1661"/>
      <c r="P36" s="1661"/>
      <c r="Q36" s="1661"/>
      <c r="R36" s="1661"/>
      <c r="S36" s="1661"/>
      <c r="T36" s="1661"/>
      <c r="U36" s="561"/>
      <c r="V36" s="1661"/>
      <c r="W36" s="1661"/>
      <c r="X36" s="1661"/>
      <c r="Y36" s="1661"/>
      <c r="Z36" s="1661"/>
      <c r="AA36" s="562"/>
      <c r="AB36" s="562"/>
      <c r="AC36" s="562"/>
      <c r="AD36" s="562"/>
      <c r="AE36" s="562"/>
    </row>
    <row s="1666" customFormat="1" customHeight="1" ht="0.75">
      <c r="A37" s="2192"/>
      <c r="B37" s="2193"/>
      <c r="C37" s="1162"/>
      <c r="D37" s="556"/>
      <c r="E37" s="563"/>
      <c r="F37" s="564"/>
      <c r="G37" s="559"/>
      <c r="H37" s="565"/>
      <c r="I37" s="565"/>
      <c r="J37" s="560"/>
      <c r="K37" s="1661" t="str">
        <f>IF((LEN(E37)-LEN(SUBSTITUTE(E37,".","")))/LEN(".")=1,"p","")</f>
        <v/>
      </c>
      <c r="L37" s="1661"/>
      <c r="M37" s="1661"/>
      <c r="N37" s="1661"/>
      <c r="O37" s="1661"/>
      <c r="P37" s="1661"/>
      <c r="Q37" s="1661"/>
      <c r="R37" s="1661"/>
      <c r="S37" s="1661"/>
      <c r="T37" s="1661"/>
      <c r="U37" s="561"/>
      <c r="V37" s="1661"/>
      <c r="W37" s="1661"/>
      <c r="X37" s="1661"/>
      <c r="Y37" s="1661"/>
      <c r="Z37" s="1661"/>
      <c r="AA37" s="562"/>
      <c r="AB37" s="562"/>
      <c r="AC37" s="562"/>
      <c r="AD37" s="562"/>
      <c r="AE37" s="562"/>
    </row>
    <row s="1666" customFormat="1" customHeight="1" ht="0.75">
      <c r="A38" s="2192"/>
      <c r="B38" s="2193"/>
      <c r="C38" s="1162"/>
      <c r="D38" s="556"/>
      <c r="E38" s="563"/>
      <c r="F38" s="564"/>
      <c r="G38" s="559"/>
      <c r="H38" s="565"/>
      <c r="I38" s="565"/>
      <c r="J38" s="560"/>
      <c r="K38" s="1661" t="str">
        <f>IF((LEN(E38)-LEN(SUBSTITUTE(E38,".","")))/LEN(".")=1,"p","")</f>
        <v/>
      </c>
      <c r="L38" s="1661"/>
      <c r="M38" s="1661"/>
      <c r="N38" s="1661"/>
      <c r="O38" s="1661"/>
      <c r="P38" s="1661"/>
      <c r="Q38" s="1661"/>
      <c r="R38" s="1661"/>
      <c r="S38" s="1661"/>
      <c r="T38" s="1661"/>
      <c r="U38" s="561"/>
      <c r="V38" s="1661"/>
      <c r="W38" s="1661"/>
      <c r="X38" s="1661"/>
      <c r="Y38" s="1661"/>
      <c r="Z38" s="1661"/>
      <c r="AA38" s="562"/>
      <c r="AB38" s="562"/>
      <c r="AC38" s="562"/>
      <c r="AD38" s="562"/>
      <c r="AE38" s="562"/>
    </row>
    <row s="1666" customFormat="1" customHeight="1" ht="0.75">
      <c r="A39" s="2192"/>
      <c r="B39" s="2193"/>
      <c r="C39" s="1162"/>
      <c r="D39" s="556"/>
      <c r="E39" s="563"/>
      <c r="F39" s="564"/>
      <c r="G39" s="559"/>
      <c r="H39" s="493"/>
      <c r="I39" s="493"/>
      <c r="J39" s="560"/>
      <c r="K39" s="1661" t="str">
        <f>IF((LEN(E39)-LEN(SUBSTITUTE(E39,".","")))/LEN(".")=1,"p","")</f>
        <v/>
      </c>
      <c r="L39" s="1661"/>
      <c r="M39" s="1661"/>
      <c r="N39" s="1661"/>
      <c r="O39" s="1661"/>
      <c r="P39" s="1661"/>
      <c r="Q39" s="1661"/>
      <c r="R39" s="1661"/>
      <c r="S39" s="1661"/>
      <c r="T39" s="1661"/>
      <c r="U39" s="561"/>
      <c r="V39" s="1661"/>
      <c r="W39" s="1661"/>
      <c r="X39" s="1661"/>
      <c r="Y39" s="1661"/>
      <c r="Z39" s="1661"/>
      <c r="AA39" s="562"/>
      <c r="AB39" s="562"/>
      <c r="AC39" s="562"/>
      <c r="AD39" s="562"/>
      <c r="AE39" s="562"/>
    </row>
    <row s="1383" customFormat="1" customHeight="1" ht="15">
      <c r="A40" s="2192"/>
      <c r="C40" s="1661"/>
      <c r="D40" s="1658"/>
      <c r="E40" s="566"/>
      <c r="F40" s="567" t="s">
        <v>568</v>
      </c>
      <c r="G40" s="568"/>
      <c r="H40" s="569"/>
      <c r="I40" s="569"/>
      <c r="J40" s="281"/>
      <c r="K40" s="1661" t="str">
        <f>IF((LEN(E40)-LEN(SUBSTITUTE(E40,".","")))/LEN(".")=1,"p","")</f>
        <v/>
      </c>
      <c r="L40" s="1661"/>
      <c r="M40" s="1661"/>
      <c r="R40" s="1661"/>
      <c r="U40" s="540"/>
      <c r="AA40" s="1657"/>
      <c r="AB40" s="1657"/>
      <c r="AC40" s="1657"/>
      <c r="AD40" s="1657"/>
      <c r="AE40" s="1657"/>
    </row>
    <row customHeight="1" ht="11.25" hidden="1">
      <c r="A41" s="2192" t="s">
        <v>569</v>
      </c>
      <c r="D41" s="1663"/>
      <c r="E41" s="542" t="str">
        <f>FHD_NUM_P_5</f>
        <v/>
      </c>
      <c r="F41" s="1541" t="str">
        <f>FHD_P_5</f>
        <v/>
      </c>
      <c r="G41" s="1903" t="s">
        <v>551</v>
      </c>
      <c r="H41" s="553"/>
      <c r="I41" s="553"/>
      <c r="J41" s="270" t="str">
        <f>FHD_NOTE_P_5</f>
        <v/>
      </c>
      <c r="K41" s="1661" t="str">
        <f>IF((LEN(E41)-LEN(SUBSTITUTE(E41,".","")))/LEN(".")=1,"p","")</f>
        <v/>
      </c>
    </row>
    <row customHeight="1" ht="11.25" hidden="1">
      <c r="A42" s="2192"/>
      <c r="D42" s="1663"/>
      <c r="E42" s="542" t="str">
        <f>FHD_NUM_P_6</f>
        <v/>
      </c>
      <c r="F42" s="1541" t="str">
        <f>FHD_P_6</f>
        <v/>
      </c>
      <c r="G42" s="1903" t="s">
        <v>551</v>
      </c>
      <c r="H42" s="553"/>
      <c r="I42" s="553"/>
      <c r="J42" s="270" t="str">
        <f>FHD_NOTE_P_6</f>
        <v/>
      </c>
      <c r="K42" s="1661" t="str">
        <f>IF((LEN(E42)-LEN(SUBSTITUTE(E42,".","")))/LEN(".")=1,"p","")</f>
        <v/>
      </c>
    </row>
    <row customHeight="1" ht="11.25" hidden="1">
      <c r="A43" s="2192"/>
      <c r="D43" s="1663"/>
      <c r="E43" s="542" t="str">
        <f>FHD_NUM_P_7</f>
        <v/>
      </c>
      <c r="F43" s="1541" t="str">
        <f>FHD_P_7</f>
        <v/>
      </c>
      <c r="G43" s="1903" t="s">
        <v>551</v>
      </c>
      <c r="H43" s="553"/>
      <c r="I43" s="553"/>
      <c r="J43" s="270" t="str">
        <f>FHD_NOTE_P_7</f>
        <v/>
      </c>
      <c r="K43" s="1661" t="str">
        <f>IF((LEN(E43)-LEN(SUBSTITUTE(E43,".","")))/LEN(".")=1,"p","")</f>
        <v/>
      </c>
    </row>
    <row customHeight="1" ht="11.25">
      <c r="D44" s="1663"/>
      <c r="E44" s="542" t="str">
        <f>FHD_NUM_P_8</f>
        <v>2.3</v>
      </c>
      <c r="F44" s="1541" t="str">
        <f>FHD_P_8</f>
        <v>Расходы на приобретаемую электрическую энергию (мощность), используемую в технологическом процессе</v>
      </c>
      <c r="G44" s="1903" t="s">
        <v>551</v>
      </c>
      <c r="H44" s="553"/>
      <c r="I44" s="553"/>
      <c r="J44" s="270" t="str">
        <f>FHD_NOTE_P_8</f>
        <v/>
      </c>
      <c r="K44" s="1661" t="str">
        <f>IF((LEN(E44)-LEN(SUBSTITUTE(E44,".","")))/LEN(".")=1,"p","")</f>
        <v>p</v>
      </c>
    </row>
    <row customHeight="1" ht="11.25">
      <c r="D45" s="1663"/>
      <c r="E45" s="542" t="str">
        <f>FHD_NUM_P_9</f>
        <v>2.3.1</v>
      </c>
      <c r="F45" s="1675" t="str">
        <f>FHD_P_9</f>
        <v>Средневзвешенная стоимость 1 кВт.ч (с учетом мощности)</v>
      </c>
      <c r="G45" s="1903" t="s">
        <v>570</v>
      </c>
      <c r="H45" s="553"/>
      <c r="I45" s="553"/>
      <c r="J45" s="270" t="str">
        <f>FHD_NOTE_P_9</f>
        <v/>
      </c>
      <c r="K45" s="1661" t="str">
        <f>IF((LEN(E45)-LEN(SUBSTITUTE(E45,".","")))/LEN(".")=1,"p","")</f>
        <v/>
      </c>
    </row>
    <row s="1383" customFormat="1" customHeight="1" ht="11.25">
      <c r="A46" s="982"/>
      <c r="C46" s="1661"/>
      <c r="D46" s="570"/>
      <c r="E46" s="542" t="str">
        <f>FHD_NUM_P_10</f>
        <v>2.3.2</v>
      </c>
      <c r="F46" s="1675" t="str">
        <f>FHD_P_10</f>
        <v>Объём приобретения электрической энергии</v>
      </c>
      <c r="G46" s="1903" t="s">
        <v>571</v>
      </c>
      <c r="H46" s="553"/>
      <c r="I46" s="553"/>
      <c r="J46" s="270" t="str">
        <f>FHD_NOTE_P_10</f>
        <v/>
      </c>
      <c r="K46" s="1661" t="str">
        <f>IF((LEN(E46)-LEN(SUBSTITUTE(E46,".","")))/LEN(".")=1,"p","")</f>
        <v/>
      </c>
      <c r="L46" s="1661"/>
      <c r="M46" s="1661"/>
      <c r="R46" s="1661"/>
      <c r="U46" s="540"/>
      <c r="AA46" s="1657"/>
      <c r="AB46" s="1657"/>
      <c r="AC46" s="1657"/>
      <c r="AD46" s="1657"/>
      <c r="AE46" s="1657"/>
    </row>
    <row s="1383" customFormat="1" customHeight="1" ht="11.25">
      <c r="A47" s="984" t="s">
        <v>572</v>
      </c>
      <c r="C47" s="1661"/>
      <c r="D47" s="571"/>
      <c r="E47" s="542" t="str">
        <f>FHD_NUM_P_11</f>
        <v>2.4</v>
      </c>
      <c r="F47" s="1541" t="str">
        <f>FHD_P_11</f>
        <v>Расходы на приобретение холодной воды, используемой в технологическом процессе</v>
      </c>
      <c r="G47" s="1903" t="s">
        <v>551</v>
      </c>
      <c r="H47" s="553"/>
      <c r="I47" s="553"/>
      <c r="J47" s="270" t="str">
        <f>FHD_NOTE_P_11</f>
        <v/>
      </c>
      <c r="K47" s="1661" t="str">
        <f>IF((LEN(E47)-LEN(SUBSTITUTE(E47,".","")))/LEN(".")=1,"p","")</f>
        <v>p</v>
      </c>
      <c r="L47" s="1661"/>
      <c r="M47" s="1661"/>
      <c r="R47" s="1661"/>
      <c r="U47" s="540"/>
      <c r="AA47" s="1657"/>
      <c r="AB47" s="1657"/>
      <c r="AC47" s="1657"/>
      <c r="AD47" s="1657"/>
      <c r="AE47" s="1657"/>
    </row>
    <row s="1383" customFormat="1" customHeight="1" ht="18">
      <c r="A48" s="984" t="s">
        <v>573</v>
      </c>
      <c r="C48" s="1661"/>
      <c r="D48" s="1663"/>
      <c r="E48" s="542" t="str">
        <f>FHD_NUM_P_12</f>
        <v>2.5</v>
      </c>
      <c r="F48" s="1541" t="str">
        <f>FHD_P_12</f>
        <v>Расходы на химические реагенты, используемые в технологическом процессе</v>
      </c>
      <c r="G48" s="1903" t="s">
        <v>551</v>
      </c>
      <c r="H48" s="573"/>
      <c r="I48" s="573"/>
      <c r="J48" s="270" t="str">
        <f>FHD_NOTE_P_12</f>
        <v/>
      </c>
      <c r="K48" s="1661" t="str">
        <f>IF((LEN(E48)-LEN(SUBSTITUTE(E48,".","")))/LEN(".")=1,"p","")</f>
        <v>p</v>
      </c>
      <c r="L48" s="1661"/>
      <c r="M48" s="1661"/>
      <c r="R48" s="1661"/>
      <c r="U48" s="540"/>
      <c r="AA48" s="1657"/>
      <c r="AB48" s="1657"/>
      <c r="AC48" s="1657"/>
      <c r="AD48" s="1657"/>
      <c r="AE48" s="1657"/>
    </row>
    <row s="1382" customFormat="1" customHeight="1" ht="11.25">
      <c r="A49" s="983"/>
      <c r="C49" s="725"/>
      <c r="D49" s="668"/>
      <c r="E49" s="542" t="str">
        <f>FHD_NUM_P_13</f>
        <v>2.6</v>
      </c>
      <c r="F49" s="154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03" t="s">
        <v>551</v>
      </c>
      <c r="H49" s="553"/>
      <c r="I49" s="553"/>
      <c r="J49" s="270" t="str">
        <f>FHD_NOTE_P_13</f>
        <v/>
      </c>
      <c r="K49" s="1661" t="str">
        <f>IF((LEN(E49)-LEN(SUBSTITUTE(E49,".","")))/LEN(".")=1,"p","")</f>
        <v>p</v>
      </c>
      <c r="L49" s="725"/>
      <c r="M49" s="725"/>
      <c r="R49" s="725"/>
      <c r="U49" s="726"/>
      <c r="AA49" s="727"/>
      <c r="AB49" s="727"/>
      <c r="AC49" s="727"/>
      <c r="AD49" s="727"/>
      <c r="AE49" s="727"/>
    </row>
    <row s="1382" customFormat="1" customHeight="1" ht="11.25">
      <c r="A50" s="983"/>
      <c r="C50" s="725"/>
      <c r="D50" s="668"/>
      <c r="E50" s="542" t="str">
        <f>FHD_NUM_P_14</f>
        <v>2.6.1</v>
      </c>
      <c r="F50" s="1675" t="str">
        <f>FHD_P_14</f>
        <v>Расходы на оплату труда основного производственного персонала</v>
      </c>
      <c r="G50" s="1903" t="s">
        <v>551</v>
      </c>
      <c r="H50" s="553"/>
      <c r="I50" s="553"/>
      <c r="J50" s="270" t="str">
        <f>FHD_NOTE_P_14</f>
        <v/>
      </c>
      <c r="K50" s="1661" t="str">
        <f>IF((LEN(E50)-LEN(SUBSTITUTE(E50,".","")))/LEN(".")=1,"p","")</f>
        <v/>
      </c>
      <c r="L50" s="725"/>
      <c r="M50" s="725"/>
      <c r="R50" s="725"/>
      <c r="U50" s="726"/>
      <c r="AA50" s="727"/>
      <c r="AB50" s="727"/>
      <c r="AC50" s="727"/>
      <c r="AD50" s="727"/>
      <c r="AE50" s="727"/>
    </row>
    <row s="1382" customFormat="1" customHeight="1" ht="11.25">
      <c r="A51" s="983"/>
      <c r="C51" s="725"/>
      <c r="D51" s="668"/>
      <c r="E51" s="542" t="str">
        <f>FHD_NUM_P_15</f>
        <v>2.6.2</v>
      </c>
      <c r="F51" s="1675" t="str">
        <f>FHD_P_15</f>
        <v>Страховые взносы на обязательное социальное страхование, выплачиваемые из фонда оплаты труда основного производственного персонала</v>
      </c>
      <c r="G51" s="1903" t="s">
        <v>551</v>
      </c>
      <c r="H51" s="553"/>
      <c r="I51" s="553"/>
      <c r="J51" s="270" t="str">
        <f>FHD_NOTE_P_15</f>
        <v/>
      </c>
      <c r="K51" s="1661" t="str">
        <f>IF((LEN(E51)-LEN(SUBSTITUTE(E51,".","")))/LEN(".")=1,"p","")</f>
        <v/>
      </c>
      <c r="L51" s="725"/>
      <c r="M51" s="725"/>
      <c r="R51" s="725"/>
      <c r="U51" s="726"/>
      <c r="AA51" s="727"/>
      <c r="AB51" s="727"/>
      <c r="AC51" s="727"/>
      <c r="AD51" s="727"/>
      <c r="AE51" s="727"/>
    </row>
    <row s="1383" customFormat="1" customHeight="1" ht="11.25">
      <c r="A52" s="982"/>
      <c r="C52" s="1661"/>
      <c r="D52" s="1663"/>
      <c r="E52" s="542" t="str">
        <f>FHD_NUM_P_16</f>
        <v>2.7</v>
      </c>
      <c r="F52" s="154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03" t="s">
        <v>551</v>
      </c>
      <c r="H52" s="553"/>
      <c r="I52" s="553"/>
      <c r="J52" s="270" t="str">
        <f>FHD_NOTE_P_16</f>
        <v/>
      </c>
      <c r="K52" s="1661" t="str">
        <f>IF((LEN(E52)-LEN(SUBSTITUTE(E52,".","")))/LEN(".")=1,"p","")</f>
        <v>p</v>
      </c>
      <c r="L52" s="1661"/>
      <c r="M52" s="1667"/>
      <c r="N52" s="533"/>
      <c r="O52" s="533"/>
      <c r="R52" s="1661"/>
      <c r="U52" s="540"/>
      <c r="AA52" s="1657"/>
      <c r="AB52" s="1657"/>
      <c r="AC52" s="1657"/>
      <c r="AD52" s="1657"/>
      <c r="AE52" s="1657"/>
    </row>
    <row s="1383" customFormat="1" customHeight="1" ht="11.25">
      <c r="A53" s="982"/>
      <c r="C53" s="1661"/>
      <c r="D53" s="1663"/>
      <c r="E53" s="542" t="str">
        <f>FHD_NUM_P_17</f>
        <v>2.7.1</v>
      </c>
      <c r="F53" s="1675" t="str">
        <f>FHD_P_17</f>
        <v>Расходы на оплату труда административно-управленческого персонала</v>
      </c>
      <c r="G53" s="1903" t="s">
        <v>551</v>
      </c>
      <c r="H53" s="553"/>
      <c r="I53" s="553"/>
      <c r="J53" s="270" t="str">
        <f>FHD_NOTE_P_17</f>
        <v/>
      </c>
      <c r="K53" s="1661" t="str">
        <f>IF((LEN(E53)-LEN(SUBSTITUTE(E53,".","")))/LEN(".")=1,"p","")</f>
        <v/>
      </c>
      <c r="L53" s="1661"/>
      <c r="M53" s="1667"/>
      <c r="N53" s="533"/>
      <c r="O53" s="533"/>
      <c r="R53" s="1661"/>
      <c r="U53" s="540"/>
      <c r="AA53" s="1657"/>
      <c r="AB53" s="1657"/>
      <c r="AC53" s="1657"/>
      <c r="AD53" s="1657"/>
      <c r="AE53" s="1657"/>
    </row>
    <row s="1383" customFormat="1" customHeight="1" ht="11.25">
      <c r="A54" s="982"/>
      <c r="C54" s="1661"/>
      <c r="D54" s="1663"/>
      <c r="E54" s="542" t="str">
        <f>FHD_NUM_P_18</f>
        <v>2.7.2</v>
      </c>
      <c r="F54" s="1675"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03" t="s">
        <v>551</v>
      </c>
      <c r="H54" s="553"/>
      <c r="I54" s="553"/>
      <c r="J54" s="270" t="str">
        <f>FHD_NOTE_P_18</f>
        <v/>
      </c>
      <c r="K54" s="1661" t="str">
        <f>IF((LEN(E54)-LEN(SUBSTITUTE(E54,".","")))/LEN(".")=1,"p","")</f>
        <v/>
      </c>
      <c r="L54" s="1661"/>
      <c r="M54" s="1667"/>
      <c r="N54" s="533"/>
      <c r="O54" s="533"/>
      <c r="R54" s="1661"/>
      <c r="U54" s="540"/>
      <c r="AA54" s="1657"/>
      <c r="AB54" s="1657"/>
      <c r="AC54" s="1657"/>
      <c r="AD54" s="1657"/>
      <c r="AE54" s="1657"/>
    </row>
    <row s="1383" customFormat="1" customHeight="1" ht="11.25">
      <c r="A55" s="982"/>
      <c r="C55" s="1661"/>
      <c r="D55" s="571"/>
      <c r="E55" s="542" t="str">
        <f>FHD_NUM_P_19</f>
        <v>2.8</v>
      </c>
      <c r="F55" s="1541" t="str">
        <f>FHD_P_19</f>
        <v>Расходы на амортизацию основных средств и нематериальных активов</v>
      </c>
      <c r="G55" s="1903" t="s">
        <v>551</v>
      </c>
      <c r="H55" s="553"/>
      <c r="I55" s="553"/>
      <c r="J55" s="270" t="str">
        <f>FHD_NOTE_P_19</f>
        <v/>
      </c>
      <c r="K55" s="1661" t="str">
        <f>IF((LEN(E55)-LEN(SUBSTITUTE(E55,".","")))/LEN(".")=1,"p","")</f>
        <v>p</v>
      </c>
      <c r="L55" s="1661"/>
      <c r="M55" s="1661"/>
      <c r="R55" s="1661"/>
      <c r="U55" s="540"/>
      <c r="AA55" s="1657"/>
      <c r="AB55" s="1657"/>
      <c r="AC55" s="1657"/>
      <c r="AD55" s="1657"/>
      <c r="AE55" s="1657"/>
    </row>
    <row s="1383" customFormat="1" customHeight="1" ht="11.25">
      <c r="A56" s="982"/>
      <c r="C56" s="1661"/>
      <c r="D56" s="571"/>
      <c r="E56" s="542" t="str">
        <f>FHD_NUM_P_20</f>
        <v>2.8.1</v>
      </c>
      <c r="F56" s="1675" t="str">
        <f>FHD_P_20</f>
        <v>Расходы на амортизацию основных средств</v>
      </c>
      <c r="G56" s="1903" t="s">
        <v>551</v>
      </c>
      <c r="H56" s="553"/>
      <c r="I56" s="553"/>
      <c r="J56" s="270" t="str">
        <f>FHD_NOTE_P_20</f>
        <v/>
      </c>
      <c r="K56" s="1661" t="str">
        <f>IF((LEN(E56)-LEN(SUBSTITUTE(E56,".","")))/LEN(".")=1,"p","")</f>
        <v/>
      </c>
      <c r="L56" s="1661"/>
      <c r="M56" s="1661"/>
      <c r="R56" s="1661"/>
      <c r="U56" s="540"/>
      <c r="AA56" s="1657"/>
      <c r="AB56" s="1657"/>
      <c r="AC56" s="1657"/>
      <c r="AD56" s="1657"/>
      <c r="AE56" s="1657"/>
    </row>
    <row s="1383" customFormat="1" customHeight="1" ht="11.25">
      <c r="A57" s="982"/>
      <c r="C57" s="1661"/>
      <c r="D57" s="571"/>
      <c r="E57" s="542" t="str">
        <f>FHD_NUM_P_21</f>
        <v>2.8.2</v>
      </c>
      <c r="F57" s="1675" t="str">
        <f>FHD_P_21</f>
        <v>Расходы на амортизацию нематериальных активов</v>
      </c>
      <c r="G57" s="1903" t="s">
        <v>551</v>
      </c>
      <c r="H57" s="553"/>
      <c r="I57" s="553"/>
      <c r="J57" s="270" t="str">
        <f>FHD_NOTE_P_21</f>
        <v/>
      </c>
      <c r="K57" s="1661" t="str">
        <f>IF((LEN(E57)-LEN(SUBSTITUTE(E57,".","")))/LEN(".")=1,"p","")</f>
        <v/>
      </c>
      <c r="L57" s="1661"/>
      <c r="M57" s="1661"/>
      <c r="R57" s="1661"/>
      <c r="U57" s="540"/>
      <c r="AA57" s="1657"/>
      <c r="AB57" s="1657"/>
      <c r="AC57" s="1657"/>
      <c r="AD57" s="1657"/>
      <c r="AE57" s="1657"/>
    </row>
    <row s="1383" customFormat="1" customHeight="1" ht="11.25">
      <c r="A58" s="982"/>
      <c r="C58" s="1661"/>
      <c r="D58" s="1663"/>
      <c r="E58" s="542" t="str">
        <f>FHD_NUM_P_22</f>
        <v>2.9</v>
      </c>
      <c r="F58" s="1541" t="str">
        <f>FHD_P_22</f>
        <v>Расходы на аренду имущества, используемого для осуществления регулируемого вида деятельности</v>
      </c>
      <c r="G58" s="1903" t="s">
        <v>551</v>
      </c>
      <c r="H58" s="553"/>
      <c r="I58" s="553"/>
      <c r="J58" s="270" t="str">
        <f>FHD_NOTE_P_22</f>
        <v/>
      </c>
      <c r="K58" s="1661" t="str">
        <f>IF((LEN(E58)-LEN(SUBSTITUTE(E58,".","")))/LEN(".")=1,"p","")</f>
        <v>p</v>
      </c>
      <c r="L58" s="1661"/>
      <c r="M58" s="1661"/>
      <c r="R58" s="1661"/>
      <c r="U58" s="540"/>
      <c r="AA58" s="1657"/>
      <c r="AB58" s="1657"/>
      <c r="AC58" s="1657"/>
      <c r="AD58" s="1657"/>
      <c r="AE58" s="1657"/>
    </row>
    <row s="1383" customFormat="1" customHeight="1" ht="11.25">
      <c r="A59" s="982"/>
      <c r="C59" s="1661"/>
      <c r="D59" s="571"/>
      <c r="E59" s="542" t="str">
        <f>FHD_NUM_P_23</f>
        <v>2.10</v>
      </c>
      <c r="F59" s="1541" t="str">
        <f>FHD_P_23</f>
        <v>Общепроизводственные расходы, в том числе:</v>
      </c>
      <c r="G59" s="1903" t="s">
        <v>551</v>
      </c>
      <c r="H59" s="553"/>
      <c r="I59" s="553"/>
      <c r="J59" s="270" t="str">
        <f>FHD_NOTE_P_23</f>
        <v>Указывается общая сумма общепроизводственных расходов.</v>
      </c>
      <c r="K59" s="1661" t="str">
        <f>IF((LEN(E59)-LEN(SUBSTITUTE(E59,".","")))/LEN(".")=1,"p","")</f>
        <v>p</v>
      </c>
      <c r="L59" s="1661"/>
      <c r="M59" s="1661"/>
      <c r="R59" s="1661"/>
      <c r="U59" s="540"/>
      <c r="AA59" s="1657"/>
      <c r="AB59" s="1657"/>
      <c r="AC59" s="1657"/>
      <c r="AD59" s="1657"/>
      <c r="AE59" s="1657"/>
    </row>
    <row s="1383" customFormat="1" customHeight="1" ht="11.25">
      <c r="A60" s="982"/>
      <c r="C60" s="1661"/>
      <c r="D60" s="571"/>
      <c r="E60" s="542" t="str">
        <f>FHD_NUM_P_24</f>
        <v>2.10.1</v>
      </c>
      <c r="F60" s="1675" t="str">
        <f>FHD_P_24</f>
        <v>Расходы на текущий ремонт</v>
      </c>
      <c r="G60" s="1903" t="s">
        <v>551</v>
      </c>
      <c r="H60" s="553"/>
      <c r="I60" s="553"/>
      <c r="J60" s="270" t="str">
        <f>FHD_NOTE_P_24</f>
        <v>Указываются расходы на текущий ремонт, отнесенные к общепроизводственным расходам.</v>
      </c>
      <c r="K60" s="1661" t="str">
        <f>IF((LEN(E60)-LEN(SUBSTITUTE(E60,".","")))/LEN(".")=1,"p","")</f>
        <v/>
      </c>
      <c r="L60" s="1661"/>
      <c r="M60" s="1661"/>
      <c r="R60" s="1661"/>
      <c r="U60" s="540"/>
      <c r="AA60" s="1657"/>
      <c r="AB60" s="1657"/>
      <c r="AC60" s="1657"/>
      <c r="AD60" s="1657"/>
      <c r="AE60" s="1657"/>
    </row>
    <row s="1383" customFormat="1" customHeight="1" ht="11.25">
      <c r="A61" s="982"/>
      <c r="C61" s="1661"/>
      <c r="D61" s="571"/>
      <c r="E61" s="542" t="str">
        <f>FHD_NUM_P_25</f>
        <v>2.10.2</v>
      </c>
      <c r="F61" s="1675" t="str">
        <f>FHD_P_25</f>
        <v>Расходы на капитальный ремонт</v>
      </c>
      <c r="G61" s="1903" t="s">
        <v>551</v>
      </c>
      <c r="H61" s="553"/>
      <c r="I61" s="553"/>
      <c r="J61" s="270" t="str">
        <f>FHD_NOTE_P_25</f>
        <v>Указываются расходы на капитальный ремонт, отнесенные к общепроизводственным расходам.</v>
      </c>
      <c r="K61" s="1661" t="str">
        <f>IF((LEN(E61)-LEN(SUBSTITUTE(E61,".","")))/LEN(".")=1,"p","")</f>
        <v/>
      </c>
      <c r="L61" s="1661"/>
      <c r="M61" s="1661"/>
      <c r="R61" s="1661"/>
      <c r="U61" s="540"/>
      <c r="AA61" s="1657"/>
      <c r="AB61" s="1657"/>
      <c r="AC61" s="1657"/>
      <c r="AD61" s="1657"/>
      <c r="AE61" s="1657"/>
    </row>
    <row s="1383" customFormat="1" customHeight="1" ht="11.25">
      <c r="A62" s="982"/>
      <c r="C62" s="1661"/>
      <c r="D62" s="1663"/>
      <c r="E62" s="542" t="str">
        <f>FHD_NUM_P_26</f>
        <v>2.11</v>
      </c>
      <c r="F62" s="1541" t="str">
        <f>FHD_P_26</f>
        <v>Общехозяйственные расходы, в том числе:</v>
      </c>
      <c r="G62" s="1903" t="s">
        <v>551</v>
      </c>
      <c r="H62" s="553"/>
      <c r="I62" s="553"/>
      <c r="J62" s="270" t="str">
        <f>FHD_NOTE_P_26</f>
        <v>Указывается общая сумма общехозяйственных расходов.</v>
      </c>
      <c r="K62" s="1661" t="str">
        <f>IF((LEN(E62)-LEN(SUBSTITUTE(E62,".","")))/LEN(".")=1,"p","")</f>
        <v>p</v>
      </c>
      <c r="L62" s="1661"/>
      <c r="M62" s="1661"/>
      <c r="R62" s="1661"/>
      <c r="U62" s="540"/>
      <c r="AA62" s="1657"/>
      <c r="AB62" s="1657"/>
      <c r="AC62" s="1657"/>
      <c r="AD62" s="1657"/>
      <c r="AE62" s="1657"/>
    </row>
    <row s="1383" customFormat="1" customHeight="1" ht="11.25">
      <c r="A63" s="982"/>
      <c r="C63" s="1661"/>
      <c r="D63" s="1663"/>
      <c r="E63" s="542" t="str">
        <f>FHD_NUM_P_27</f>
        <v>2.11.1</v>
      </c>
      <c r="F63" s="1675" t="str">
        <f>FHD_P_27</f>
        <v>Расходы на текущий ремонт</v>
      </c>
      <c r="G63" s="1903" t="s">
        <v>551</v>
      </c>
      <c r="H63" s="553"/>
      <c r="I63" s="553"/>
      <c r="J63" s="270" t="str">
        <f>FHD_NOTE_P_27</f>
        <v>Указываются расходы на текущий ремонт, отнесенные к общехозяйственным расходам.</v>
      </c>
      <c r="K63" s="1661" t="str">
        <f>IF((LEN(E63)-LEN(SUBSTITUTE(E63,".","")))/LEN(".")=1,"p","")</f>
        <v/>
      </c>
      <c r="L63" s="1661"/>
      <c r="M63" s="1661"/>
      <c r="R63" s="1661"/>
      <c r="U63" s="540"/>
      <c r="AA63" s="1657"/>
      <c r="AB63" s="1657"/>
      <c r="AC63" s="1657"/>
      <c r="AD63" s="1657"/>
      <c r="AE63" s="1657"/>
    </row>
    <row s="1383" customFormat="1" customHeight="1" ht="11.25">
      <c r="A64" s="982"/>
      <c r="C64" s="1661"/>
      <c r="D64" s="1663"/>
      <c r="E64" s="542" t="str">
        <f>FHD_NUM_P_28</f>
        <v>2.11.2</v>
      </c>
      <c r="F64" s="1675" t="str">
        <f>FHD_P_28</f>
        <v>Расходы на капитальный ремонт</v>
      </c>
      <c r="G64" s="1903" t="s">
        <v>551</v>
      </c>
      <c r="H64" s="553"/>
      <c r="I64" s="553"/>
      <c r="J64" s="270" t="str">
        <f>FHD_NOTE_P_28</f>
        <v>Указываются расходы на капитальный ремонт, отнесенные к общехозяйственным расходам.</v>
      </c>
      <c r="K64" s="1661" t="str">
        <f>IF((LEN(E64)-LEN(SUBSTITUTE(E64,".","")))/LEN(".")=1,"p","")</f>
        <v/>
      </c>
      <c r="L64" s="1661"/>
      <c r="M64" s="1661"/>
      <c r="R64" s="1661"/>
      <c r="U64" s="540"/>
      <c r="AA64" s="1657"/>
      <c r="AB64" s="1657"/>
      <c r="AC64" s="1657"/>
      <c r="AD64" s="1657"/>
      <c r="AE64" s="1657"/>
    </row>
    <row s="1383" customFormat="1" customHeight="1" ht="11.25">
      <c r="A65" s="982"/>
      <c r="C65" s="1661"/>
      <c r="D65" s="1663"/>
      <c r="E65" s="542" t="str">
        <f>FHD_NUM_P_29</f>
        <v>2.12</v>
      </c>
      <c r="F65" s="1541" t="str">
        <f>FHD_P_29</f>
        <v>Расходы на капитальный и текущий ремонт основных средств</v>
      </c>
      <c r="G65" s="1903" t="s">
        <v>551</v>
      </c>
      <c r="H65" s="553"/>
      <c r="I65" s="553"/>
      <c r="J65" s="270"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61" t="str">
        <f>IF((LEN(E65)-LEN(SUBSTITUTE(E65,".","")))/LEN(".")=1,"p","")</f>
        <v>p</v>
      </c>
      <c r="L65" s="1661"/>
      <c r="M65" s="1661"/>
      <c r="R65" s="1661"/>
      <c r="U65" s="540"/>
      <c r="AA65" s="1657"/>
      <c r="AB65" s="1657"/>
      <c r="AC65" s="1657"/>
      <c r="AD65" s="1657"/>
      <c r="AE65" s="1657"/>
    </row>
    <row s="1383" customFormat="1" customHeight="1" ht="11.25">
      <c r="A66" s="982"/>
      <c r="C66" s="1661"/>
      <c r="D66" s="1663"/>
      <c r="E66" s="542" t="str">
        <f>FHD_NUM_P_30</f>
        <v>2.12.1</v>
      </c>
      <c r="F66" s="1675"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03" t="s">
        <v>311</v>
      </c>
      <c r="H66" s="1674" t="s">
        <v>574</v>
      </c>
      <c r="I66" s="1674" t="s">
        <v>574</v>
      </c>
      <c r="J66" s="270" t="str">
        <f>FHD_NOTE_P_30</f>
        <v/>
      </c>
      <c r="K66" s="1661" t="str">
        <f>IF((LEN(E66)-LEN(SUBSTITUTE(E66,".","")))/LEN(".")=1,"p","")</f>
        <v/>
      </c>
      <c r="L66" s="1661">
        <f>_xlfn.IFERROR(MATCH("есть",B_FHD_FLAG_INDEX_1,0),0)</f>
        <v>0</v>
      </c>
      <c r="M66" s="1661"/>
      <c r="R66" s="1661"/>
      <c r="U66" s="540"/>
      <c r="AA66" s="1657"/>
      <c r="AB66" s="1657"/>
      <c r="AC66" s="1657"/>
      <c r="AD66" s="1657"/>
      <c r="AE66" s="1657"/>
    </row>
    <row s="1383" customFormat="1" customHeight="1" ht="22.5" hidden="1">
      <c r="A67" s="2192" t="s">
        <v>575</v>
      </c>
      <c r="C67" s="1661"/>
      <c r="D67" s="1663"/>
      <c r="E67" s="542" t="str">
        <f>FHD_NUM_P_31</f>
        <v/>
      </c>
      <c r="F67" s="1541" t="str">
        <f>FHD_P_31</f>
        <v/>
      </c>
      <c r="G67" s="1903" t="s">
        <v>551</v>
      </c>
      <c r="H67" s="553"/>
      <c r="I67" s="553"/>
      <c r="J67" s="270" t="str">
        <f>FHD_NOTE_P_31</f>
        <v/>
      </c>
      <c r="K67" s="1661" t="str">
        <f>IF((LEN(E67)-LEN(SUBSTITUTE(E67,".","")))/LEN(".")=1,"p","")</f>
        <v/>
      </c>
      <c r="L67" s="1661"/>
      <c r="M67" s="1661"/>
      <c r="R67" s="1661"/>
      <c r="U67" s="540"/>
      <c r="AA67" s="1657"/>
      <c r="AB67" s="1657"/>
      <c r="AC67" s="1657"/>
      <c r="AD67" s="1657"/>
      <c r="AE67" s="1657"/>
    </row>
    <row s="1383" customFormat="1" customHeight="1" ht="45" hidden="1">
      <c r="A68" s="2192"/>
      <c r="C68" s="1661"/>
      <c r="D68" s="1663"/>
      <c r="E68" s="542" t="str">
        <f>FHD_NUM_P_32</f>
        <v/>
      </c>
      <c r="F68" s="1675" t="str">
        <f>FHD_P_32</f>
        <v/>
      </c>
      <c r="G68" s="1903" t="s">
        <v>311</v>
      </c>
      <c r="H68" s="1674" t="s">
        <v>574</v>
      </c>
      <c r="I68" s="1674" t="s">
        <v>574</v>
      </c>
      <c r="J68" s="270" t="str">
        <f>FHD_NOTE_P_32</f>
        <v/>
      </c>
      <c r="K68" s="1661" t="str">
        <f>IF((LEN(E68)-LEN(SUBSTITUTE(E68,".","")))/LEN(".")=1,"p","")</f>
        <v/>
      </c>
      <c r="L68" s="1661">
        <f>_xlfn.IFERROR(MATCH("есть",B_FHD_FLAG_INDEX_2,0),0)</f>
        <v>0</v>
      </c>
      <c r="M68" s="1661"/>
      <c r="R68" s="1661"/>
      <c r="U68" s="540"/>
      <c r="AA68" s="1657"/>
      <c r="AB68" s="1657"/>
      <c r="AC68" s="1657"/>
      <c r="AD68" s="1657"/>
      <c r="AE68" s="1657"/>
    </row>
    <row s="1383" customFormat="1" customHeight="1" ht="11.25">
      <c r="A69" s="982"/>
      <c r="C69" s="1661"/>
      <c r="D69" s="1663"/>
      <c r="E69" s="542" t="str">
        <f>FHD_NUM_P_33</f>
        <v>2.13</v>
      </c>
      <c r="F69" s="1541"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04" t="s">
        <v>551</v>
      </c>
      <c r="H69" s="575">
        <f>SUM(H70:H71)</f>
        <v>0</v>
      </c>
      <c r="I69" s="575">
        <f>SUM(I70:I71)</f>
        <v>0</v>
      </c>
      <c r="J69" s="270"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61" t="str">
        <f>IF((LEN(E69)-LEN(SUBSTITUTE(E69,".","")))/LEN(".")=1,"p","")</f>
        <v>p</v>
      </c>
      <c r="L69" s="1661"/>
      <c r="M69" s="1661"/>
      <c r="R69" s="1661"/>
      <c r="U69" s="540"/>
      <c r="AA69" s="1657"/>
      <c r="AB69" s="1657"/>
      <c r="AC69" s="1657"/>
      <c r="AD69" s="1657"/>
      <c r="AE69" s="1657"/>
    </row>
    <row s="1667" customFormat="1" customHeight="1" ht="0.75">
      <c r="A70" s="1162"/>
      <c r="D70" s="544"/>
      <c r="E70" s="1008" t="str">
        <f>E69&amp;".0"</f>
        <v>2.13.0</v>
      </c>
      <c r="F70" s="986"/>
      <c r="G70" s="1008"/>
      <c r="H70" s="987"/>
      <c r="I70" s="987"/>
      <c r="J70" s="988"/>
      <c r="K70" s="1661" t="str">
        <f>IF((LEN(E70)-LEN(SUBSTITUTE(E70,".","")))/LEN(".")=1,"p","")</f>
        <v/>
      </c>
    </row>
    <row s="1383" customFormat="1" customHeight="1" ht="14.25">
      <c r="A71" s="982"/>
      <c r="C71" s="1661"/>
      <c r="D71" s="1658"/>
      <c r="E71" s="566"/>
      <c r="F71" s="567" t="s">
        <v>576</v>
      </c>
      <c r="G71" s="568"/>
      <c r="H71" s="569"/>
      <c r="I71" s="569"/>
      <c r="J71" s="281"/>
      <c r="K71" s="1661"/>
      <c r="L71" s="1661"/>
      <c r="M71" s="1661"/>
      <c r="R71" s="1661"/>
      <c r="U71" s="540"/>
      <c r="AA71" s="1657"/>
      <c r="AB71" s="1657"/>
      <c r="AC71" s="1657"/>
      <c r="AD71" s="1657"/>
      <c r="AE71" s="1657"/>
    </row>
    <row s="1383" customFormat="1" customHeight="1" ht="18.75">
      <c r="A72" s="984" t="s">
        <v>577</v>
      </c>
      <c r="C72" s="1661"/>
      <c r="D72" s="1663"/>
      <c r="E72" s="542" t="str">
        <f>FHD_NUM_P_34</f>
        <v>3</v>
      </c>
      <c r="F72" s="1905" t="str">
        <f>FHD_P_34</f>
        <v>Валовая прибыль (убытки) от реализации товаров и оказания услуг по регулируемому виду деятельности</v>
      </c>
      <c r="G72" s="1903" t="s">
        <v>551</v>
      </c>
      <c r="H72" s="553"/>
      <c r="I72" s="553"/>
      <c r="J72" s="270" t="str">
        <f>FHD_NOTE_P_34</f>
        <v/>
      </c>
      <c r="K72" s="539"/>
      <c r="L72" s="1661"/>
      <c r="M72" s="1661"/>
      <c r="R72" s="1661"/>
      <c r="U72" s="540"/>
      <c r="AA72" s="1657"/>
      <c r="AB72" s="1657"/>
      <c r="AC72" s="1657"/>
      <c r="AD72" s="1657"/>
      <c r="AE72" s="1657"/>
    </row>
    <row s="1383" customFormat="1" customHeight="1" ht="18.75">
      <c r="A73" s="982"/>
      <c r="C73" s="1661"/>
      <c r="D73" s="571"/>
      <c r="E73" s="542" t="str">
        <f>FHD_NUM_P_35</f>
        <v>4</v>
      </c>
      <c r="F73" s="1905" t="str">
        <f>FHD_P_35</f>
        <v>Чистая прибыль, полученная от регулируемого вида деятельности, в том числе:</v>
      </c>
      <c r="G73" s="1903" t="s">
        <v>551</v>
      </c>
      <c r="H73" s="553"/>
      <c r="I73" s="553"/>
      <c r="J73" s="270" t="str">
        <f>FHD_NOTE_P_35</f>
        <v>Указывается общая сумма чистой прибыли, полученной от регулируемого вида деятельности.</v>
      </c>
      <c r="K73" s="539"/>
      <c r="L73" s="1661"/>
      <c r="M73" s="1661"/>
      <c r="R73" s="1661"/>
      <c r="U73" s="540"/>
      <c r="AA73" s="1657"/>
      <c r="AB73" s="1657"/>
      <c r="AC73" s="1657"/>
      <c r="AD73" s="1657"/>
      <c r="AE73" s="1657"/>
    </row>
    <row s="1383" customFormat="1" customHeight="1" ht="18.75">
      <c r="A74" s="982"/>
      <c r="C74" s="1661"/>
      <c r="D74" s="1663"/>
      <c r="E74" s="542" t="str">
        <f>FHD_NUM_P_36</f>
        <v>4.1</v>
      </c>
      <c r="F74" s="154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03" t="s">
        <v>551</v>
      </c>
      <c r="H74" s="553"/>
      <c r="I74" s="553"/>
      <c r="J74" s="270" t="str">
        <f>FHD_NOTE_P_36</f>
        <v/>
      </c>
      <c r="K74" s="539"/>
      <c r="L74" s="1661"/>
      <c r="M74" s="1661"/>
      <c r="R74" s="1661"/>
      <c r="U74" s="540"/>
      <c r="AA74" s="1657"/>
      <c r="AB74" s="1657"/>
      <c r="AC74" s="1657"/>
      <c r="AD74" s="1657"/>
      <c r="AE74" s="1657"/>
    </row>
    <row s="1383" customFormat="1" customHeight="1" ht="18.75">
      <c r="A75" s="982"/>
      <c r="C75" s="1661"/>
      <c r="D75" s="1663"/>
      <c r="E75" s="542" t="str">
        <f>FHD_NUM_P_37</f>
        <v>5</v>
      </c>
      <c r="F75" s="1905" t="str">
        <f>FHD_P_37</f>
        <v>Изменение стоимости основных фондов, в том числе:</v>
      </c>
      <c r="G75" s="1903" t="s">
        <v>551</v>
      </c>
      <c r="H75" s="553"/>
      <c r="I75" s="553"/>
      <c r="J75" s="270" t="str">
        <f>FHD_NOTE_P_37</f>
        <v>Указывается общее изменение стоимости основных фондов.</v>
      </c>
      <c r="K75" s="539"/>
      <c r="L75" s="1661"/>
      <c r="M75" s="1661"/>
      <c r="R75" s="1661"/>
      <c r="U75" s="540"/>
      <c r="AA75" s="1657"/>
      <c r="AB75" s="1657"/>
      <c r="AC75" s="1657"/>
      <c r="AD75" s="1657"/>
      <c r="AE75" s="1657"/>
    </row>
    <row s="1383" customFormat="1" customHeight="1" ht="18.75">
      <c r="A76" s="982"/>
      <c r="C76" s="1661"/>
      <c r="D76" s="1663"/>
      <c r="E76" s="542" t="str">
        <f>FHD_NUM_P_38</f>
        <v>5.1</v>
      </c>
      <c r="F76" s="1541" t="str">
        <f>FHD_P_38</f>
        <v>Изменение стоимости основных фондов за счет:</v>
      </c>
      <c r="G76" s="1903" t="s">
        <v>551</v>
      </c>
      <c r="H76" s="553"/>
      <c r="I76" s="553"/>
      <c r="J76" s="270" t="str">
        <f>FHD_NOTE_P_38</f>
        <v>Указываются общее изменение стоимости основных фондов за счет их ввода в эксплуатацию и вывода из эксплуатации.</v>
      </c>
      <c r="K76" s="539"/>
      <c r="L76" s="1661"/>
      <c r="M76" s="1661"/>
      <c r="R76" s="1661"/>
      <c r="U76" s="540"/>
      <c r="AA76" s="1657"/>
      <c r="AB76" s="1657"/>
      <c r="AC76" s="1657"/>
      <c r="AD76" s="1657"/>
      <c r="AE76" s="1657"/>
    </row>
    <row s="1383" customFormat="1" customHeight="1" ht="18.75">
      <c r="A77" s="982"/>
      <c r="C77" s="1661"/>
      <c r="D77" s="1663"/>
      <c r="E77" s="542" t="str">
        <f>FHD_NUM_P_39</f>
        <v>5.1.1</v>
      </c>
      <c r="F77" s="1675" t="str">
        <f>FHD_P_39</f>
        <v>Изменения стоимости основных фондов за счет их ввода в эксплуатацию</v>
      </c>
      <c r="G77" s="1903" t="s">
        <v>551</v>
      </c>
      <c r="H77" s="553"/>
      <c r="I77" s="553"/>
      <c r="J77" s="270" t="str">
        <f>FHD_NOTE_P_39</f>
        <v>Указываются изменение стоимости основных фондов за счет их ввода в эксплуатацию.</v>
      </c>
      <c r="K77" s="539"/>
      <c r="L77" s="1661"/>
      <c r="M77" s="1661"/>
      <c r="R77" s="1661"/>
      <c r="U77" s="540"/>
      <c r="AA77" s="1657"/>
      <c r="AB77" s="1657"/>
      <c r="AC77" s="1657"/>
      <c r="AD77" s="1657"/>
      <c r="AE77" s="1657"/>
    </row>
    <row s="1383" customFormat="1" customHeight="1" ht="18.75">
      <c r="A78" s="982"/>
      <c r="C78" s="1661"/>
      <c r="D78" s="1663"/>
      <c r="E78" s="542" t="str">
        <f>FHD_NUM_P_40</f>
        <v>5.1.2</v>
      </c>
      <c r="F78" s="1675" t="str">
        <f>FHD_P_40</f>
        <v>Изменения стоимости основных фондов за счет их вывода в эксплуатацию</v>
      </c>
      <c r="G78" s="1903" t="s">
        <v>551</v>
      </c>
      <c r="H78" s="553"/>
      <c r="I78" s="553"/>
      <c r="J78" s="270" t="str">
        <f>FHD_NOTE_P_40</f>
        <v>Указываются изменение стоимости основных фондов за счет их вывода из эксплуатации.</v>
      </c>
      <c r="K78" s="539"/>
      <c r="L78" s="1661"/>
      <c r="M78" s="1661"/>
      <c r="R78" s="1661"/>
      <c r="U78" s="540"/>
      <c r="AA78" s="1657"/>
      <c r="AB78" s="1657"/>
      <c r="AC78" s="1657"/>
      <c r="AD78" s="1657"/>
      <c r="AE78" s="1657"/>
    </row>
    <row s="1383" customFormat="1" customHeight="1" ht="18.75">
      <c r="A79" s="982"/>
      <c r="C79" s="1661"/>
      <c r="D79" s="1663"/>
      <c r="E79" s="542" t="str">
        <f>FHD_NUM_P_41</f>
        <v>5.2</v>
      </c>
      <c r="F79" s="1541" t="str">
        <f>FHD_P_41</f>
        <v>Изменение стоимости основных фондов за счет их переоценки</v>
      </c>
      <c r="G79" s="1904" t="s">
        <v>551</v>
      </c>
      <c r="H79" s="553"/>
      <c r="I79" s="553"/>
      <c r="J79" s="270" t="str">
        <f>FHD_NOTE_P_41</f>
        <v/>
      </c>
      <c r="K79" s="539"/>
      <c r="L79" s="1661"/>
      <c r="M79" s="1661"/>
      <c r="R79" s="1661"/>
      <c r="U79" s="540"/>
      <c r="AA79" s="1657"/>
      <c r="AB79" s="1657"/>
      <c r="AC79" s="1657"/>
      <c r="AD79" s="1657"/>
      <c r="AE79" s="1657"/>
    </row>
    <row s="1383" customFormat="1" customHeight="1" ht="18.75" hidden="1">
      <c r="A80" s="984" t="s">
        <v>578</v>
      </c>
      <c r="C80" s="1661"/>
      <c r="D80" s="1663"/>
      <c r="E80" s="542" t="str">
        <f>FHD_NUM_P_42</f>
        <v/>
      </c>
      <c r="F80" s="1905" t="str">
        <f>FHD_P_42</f>
        <v/>
      </c>
      <c r="G80" s="1903" t="s">
        <v>551</v>
      </c>
      <c r="H80" s="971"/>
      <c r="I80" s="553"/>
      <c r="J80" s="270" t="str">
        <f>FHD_NOTE_P_42</f>
        <v/>
      </c>
      <c r="K80" s="539"/>
      <c r="L80" s="1661"/>
      <c r="M80" s="1661"/>
      <c r="R80" s="1661"/>
      <c r="U80" s="540"/>
      <c r="AA80" s="1657"/>
      <c r="AB80" s="1657"/>
      <c r="AC80" s="1657"/>
      <c r="AD80" s="1657"/>
      <c r="AE80" s="1657"/>
    </row>
    <row s="1383" customFormat="1" customHeight="1" ht="18.75">
      <c r="A81" s="982"/>
      <c r="C81" s="1661"/>
      <c r="D81" s="1663"/>
      <c r="E81" s="542" t="str">
        <f>FHD_NUM_P_43</f>
        <v>6</v>
      </c>
      <c r="F81" s="1905" t="str">
        <f>FHD_P_43</f>
        <v>Годовая бухгалтерская (финансовая) отчетность, включая бухгалтерский баланс и приложения к нему</v>
      </c>
      <c r="G81" s="1903" t="s">
        <v>311</v>
      </c>
      <c r="H81" s="1050"/>
      <c r="I81" s="812"/>
      <c r="J81" s="270"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39"/>
      <c r="L81" s="1661"/>
      <c r="M81" s="1661"/>
      <c r="R81" s="1661"/>
      <c r="U81" s="540"/>
      <c r="AA81" s="1657"/>
      <c r="AB81" s="1657"/>
      <c r="AC81" s="1657"/>
      <c r="AD81" s="1657"/>
      <c r="AE81" s="1657"/>
    </row>
    <row s="1383" customFormat="1" customHeight="1" ht="18.75" hidden="1">
      <c r="A82" s="2192" t="s">
        <v>579</v>
      </c>
      <c r="C82" s="730"/>
      <c r="D82" s="728"/>
      <c r="E82" s="542" t="str">
        <f>FHD_NUM_P_44</f>
        <v/>
      </c>
      <c r="F82" s="1905" t="str">
        <f>FHD_P_44</f>
        <v/>
      </c>
      <c r="G82" s="1906" t="s">
        <v>580</v>
      </c>
      <c r="H82" s="972"/>
      <c r="I82" s="573"/>
      <c r="J82" s="270" t="str">
        <f>FHD_NOTE_P_44</f>
        <v/>
      </c>
      <c r="K82" s="729"/>
      <c r="L82" s="730"/>
      <c r="M82" s="730"/>
      <c r="R82" s="730"/>
      <c r="U82" s="731"/>
      <c r="AA82" s="732"/>
      <c r="AB82" s="732"/>
      <c r="AC82" s="732"/>
      <c r="AD82" s="732"/>
      <c r="AE82" s="732"/>
    </row>
    <row s="1383" customFormat="1" customHeight="1" ht="18.75" hidden="1">
      <c r="A83" s="2192"/>
      <c r="C83" s="730"/>
      <c r="D83" s="728"/>
      <c r="E83" s="542" t="str">
        <f>FHD_NUM_P_45</f>
        <v/>
      </c>
      <c r="F83" s="1905" t="str">
        <f>FHD_P_45</f>
        <v/>
      </c>
      <c r="G83" s="1906" t="s">
        <v>580</v>
      </c>
      <c r="H83" s="972"/>
      <c r="I83" s="573"/>
      <c r="J83" s="270" t="str">
        <f>FHD_NOTE_P_45</f>
        <v/>
      </c>
      <c r="K83" s="729"/>
      <c r="L83" s="730"/>
      <c r="M83" s="730"/>
      <c r="R83" s="730"/>
      <c r="U83" s="731"/>
      <c r="AA83" s="732"/>
      <c r="AB83" s="732"/>
      <c r="AC83" s="732"/>
      <c r="AD83" s="732"/>
      <c r="AE83" s="732"/>
    </row>
    <row s="1383" customFormat="1" customHeight="1" ht="18.75" hidden="1">
      <c r="A84" s="2192"/>
      <c r="C84" s="730"/>
      <c r="D84" s="733"/>
      <c r="E84" s="542" t="str">
        <f>FHD_NUM_P_46</f>
        <v/>
      </c>
      <c r="F84" s="1905" t="str">
        <f>FHD_P_46</f>
        <v/>
      </c>
      <c r="G84" s="1906" t="s">
        <v>580</v>
      </c>
      <c r="H84" s="972"/>
      <c r="I84" s="573"/>
      <c r="J84" s="270" t="str">
        <f>FHD_NOTE_P_46</f>
        <v/>
      </c>
      <c r="K84" s="729"/>
      <c r="L84" s="730"/>
      <c r="M84" s="730"/>
      <c r="R84" s="730"/>
      <c r="U84" s="731"/>
      <c r="AA84" s="732"/>
      <c r="AB84" s="732"/>
      <c r="AC84" s="732"/>
      <c r="AD84" s="732"/>
      <c r="AE84" s="732"/>
    </row>
    <row s="1383" customFormat="1" customHeight="1" ht="18.75" hidden="1">
      <c r="A85" s="2192"/>
      <c r="C85" s="730"/>
      <c r="D85" s="728"/>
      <c r="E85" s="542" t="str">
        <f>FHD_NUM_P_47</f>
        <v/>
      </c>
      <c r="F85" s="1905" t="str">
        <f>FHD_P_47</f>
        <v/>
      </c>
      <c r="G85" s="1906" t="s">
        <v>580</v>
      </c>
      <c r="H85" s="972"/>
      <c r="I85" s="573"/>
      <c r="J85" s="270" t="str">
        <f>FHD_NOTE_P_47</f>
        <v/>
      </c>
      <c r="K85" s="729"/>
      <c r="L85" s="730"/>
      <c r="M85" s="730"/>
      <c r="R85" s="730"/>
      <c r="U85" s="731"/>
      <c r="AA85" s="732"/>
      <c r="AB85" s="732"/>
      <c r="AC85" s="732"/>
      <c r="AD85" s="732"/>
      <c r="AE85" s="732"/>
    </row>
    <row s="1660" customFormat="1" customHeight="1" ht="18.75" hidden="1">
      <c r="A86" s="2192"/>
      <c r="B86" s="904"/>
      <c r="C86" s="730"/>
      <c r="D86" s="728"/>
      <c r="E86" s="542" t="str">
        <f>FHD_NUM_P_48</f>
        <v/>
      </c>
      <c r="F86" s="1905" t="str">
        <f>FHD_P_48</f>
        <v/>
      </c>
      <c r="G86" s="1906" t="s">
        <v>580</v>
      </c>
      <c r="H86" s="972"/>
      <c r="I86" s="573"/>
      <c r="J86" s="270" t="str">
        <f>FHD_NOTE_P_48</f>
        <v/>
      </c>
      <c r="K86" s="729"/>
      <c r="L86" s="730"/>
      <c r="M86" s="730"/>
      <c r="N86" s="904"/>
      <c r="O86" s="904"/>
      <c r="P86" s="904"/>
      <c r="Q86" s="904"/>
      <c r="R86" s="730"/>
      <c r="S86" s="904"/>
      <c r="T86" s="904"/>
      <c r="U86" s="731"/>
      <c r="V86" s="904"/>
      <c r="W86" s="904"/>
      <c r="X86" s="904"/>
      <c r="Y86" s="904"/>
      <c r="Z86" s="904"/>
      <c r="AA86" s="732"/>
      <c r="AB86" s="732"/>
      <c r="AC86" s="732"/>
      <c r="AD86" s="732"/>
      <c r="AE86" s="732"/>
    </row>
    <row s="1660" customFormat="1" customHeight="1" ht="18.75" hidden="1">
      <c r="A87" s="2192"/>
      <c r="B87" s="904"/>
      <c r="C87" s="730"/>
      <c r="D87" s="728"/>
      <c r="E87" s="542" t="str">
        <f>FHD_NUM_P_49</f>
        <v/>
      </c>
      <c r="F87" s="1905" t="str">
        <f>FHD_P_49</f>
        <v/>
      </c>
      <c r="G87" s="1906" t="s">
        <v>580</v>
      </c>
      <c r="H87" s="973">
        <f>SUM(H88:H89)</f>
        <v>0</v>
      </c>
      <c r="I87" s="744">
        <f>SUM(I88:I89)</f>
        <v>0</v>
      </c>
      <c r="J87" s="270" t="str">
        <f>FHD_NOTE_P_49</f>
        <v/>
      </c>
      <c r="K87" s="729"/>
      <c r="L87" s="730"/>
      <c r="M87" s="730"/>
      <c r="N87" s="904"/>
      <c r="O87" s="904"/>
      <c r="P87" s="904"/>
      <c r="Q87" s="904"/>
      <c r="R87" s="730"/>
      <c r="S87" s="904"/>
      <c r="T87" s="904"/>
      <c r="U87" s="731"/>
      <c r="V87" s="904"/>
      <c r="W87" s="904"/>
      <c r="X87" s="904"/>
      <c r="Y87" s="904"/>
      <c r="Z87" s="904"/>
      <c r="AA87" s="732"/>
      <c r="AB87" s="732"/>
      <c r="AC87" s="732"/>
      <c r="AD87" s="732"/>
      <c r="AE87" s="732"/>
    </row>
    <row s="1660" customFormat="1" customHeight="1" ht="18.75" hidden="1">
      <c r="A88" s="2192"/>
      <c r="B88" s="904"/>
      <c r="C88" s="730"/>
      <c r="D88" s="728"/>
      <c r="E88" s="542" t="str">
        <f>FHD_NUM_P_50</f>
        <v/>
      </c>
      <c r="F88" s="1905" t="str">
        <f>FHD_P_50</f>
        <v/>
      </c>
      <c r="G88" s="1906" t="s">
        <v>580</v>
      </c>
      <c r="H88" s="972"/>
      <c r="I88" s="573"/>
      <c r="J88" s="270" t="str">
        <f>FHD_NOTE_P_50</f>
        <v/>
      </c>
      <c r="K88" s="729"/>
      <c r="L88" s="730"/>
      <c r="M88" s="730"/>
      <c r="N88" s="904"/>
      <c r="O88" s="904"/>
      <c r="P88" s="904"/>
      <c r="Q88" s="904"/>
      <c r="R88" s="730"/>
      <c r="S88" s="904"/>
      <c r="T88" s="904"/>
      <c r="U88" s="731"/>
      <c r="V88" s="904"/>
      <c r="W88" s="904"/>
      <c r="X88" s="904"/>
      <c r="Y88" s="904"/>
      <c r="Z88" s="904"/>
      <c r="AA88" s="732"/>
      <c r="AB88" s="732"/>
      <c r="AC88" s="732"/>
      <c r="AD88" s="732"/>
      <c r="AE88" s="732"/>
    </row>
    <row s="1660" customFormat="1" customHeight="1" ht="18.75" hidden="1">
      <c r="A89" s="2192"/>
      <c r="B89" s="904"/>
      <c r="C89" s="730"/>
      <c r="D89" s="728"/>
      <c r="E89" s="542" t="str">
        <f>FHD_NUM_P_51</f>
        <v/>
      </c>
      <c r="F89" s="1905" t="str">
        <f>FHD_P_51</f>
        <v/>
      </c>
      <c r="G89" s="1906" t="s">
        <v>580</v>
      </c>
      <c r="H89" s="972"/>
      <c r="I89" s="573"/>
      <c r="J89" s="270" t="str">
        <f>FHD_NOTE_P_51</f>
        <v/>
      </c>
      <c r="K89" s="729"/>
      <c r="L89" s="730"/>
      <c r="M89" s="730"/>
      <c r="N89" s="904"/>
      <c r="O89" s="904"/>
      <c r="P89" s="904"/>
      <c r="Q89" s="904"/>
      <c r="R89" s="730"/>
      <c r="S89" s="904"/>
      <c r="T89" s="904"/>
      <c r="U89" s="731"/>
      <c r="V89" s="904"/>
      <c r="W89" s="904"/>
      <c r="X89" s="904"/>
      <c r="Y89" s="904"/>
      <c r="Z89" s="904"/>
      <c r="AA89" s="732"/>
      <c r="AB89" s="732"/>
      <c r="AC89" s="732"/>
      <c r="AD89" s="732"/>
      <c r="AE89" s="732"/>
    </row>
    <row s="1660" customFormat="1" customHeight="1" ht="18.75" hidden="1">
      <c r="A90" s="2192"/>
      <c r="B90" s="904"/>
      <c r="C90" s="730"/>
      <c r="D90" s="728"/>
      <c r="E90" s="542" t="str">
        <f>FHD_NUM_P_52</f>
        <v/>
      </c>
      <c r="F90" s="1905" t="str">
        <f>FHD_P_52</f>
        <v/>
      </c>
      <c r="G90" s="1906" t="s">
        <v>557</v>
      </c>
      <c r="H90" s="971"/>
      <c r="I90" s="553"/>
      <c r="J90" s="270" t="str">
        <f>FHD_NOTE_P_52</f>
        <v/>
      </c>
      <c r="K90" s="729"/>
      <c r="L90" s="730"/>
      <c r="M90" s="730"/>
      <c r="N90" s="904"/>
      <c r="O90" s="904"/>
      <c r="P90" s="904"/>
      <c r="Q90" s="904"/>
      <c r="R90" s="730"/>
      <c r="S90" s="904"/>
      <c r="T90" s="904"/>
      <c r="U90" s="731"/>
      <c r="V90" s="904"/>
      <c r="W90" s="904"/>
      <c r="X90" s="904"/>
      <c r="Y90" s="904"/>
      <c r="Z90" s="904"/>
      <c r="AA90" s="732"/>
      <c r="AB90" s="732"/>
      <c r="AC90" s="732"/>
      <c r="AD90" s="732"/>
      <c r="AE90" s="732"/>
    </row>
    <row s="1383" customFormat="1" customHeight="1" ht="18.75" hidden="1">
      <c r="A91" s="2194" t="s">
        <v>581</v>
      </c>
      <c r="C91" s="730"/>
      <c r="D91" s="728"/>
      <c r="E91" s="542" t="str">
        <f>FHD_NUM_P_53</f>
        <v/>
      </c>
      <c r="F91" s="1905" t="str">
        <f>FHD_P_53</f>
        <v/>
      </c>
      <c r="G91" s="1906" t="s">
        <v>580</v>
      </c>
      <c r="H91" s="972"/>
      <c r="I91" s="573"/>
      <c r="J91" s="270" t="str">
        <f>FHD_NOTE_P_53</f>
        <v/>
      </c>
      <c r="K91" s="729"/>
      <c r="L91" s="730"/>
      <c r="M91" s="730"/>
      <c r="R91" s="730"/>
      <c r="U91" s="731"/>
      <c r="AA91" s="732"/>
      <c r="AB91" s="732"/>
      <c r="AC91" s="732"/>
      <c r="AD91" s="732"/>
      <c r="AE91" s="732"/>
    </row>
    <row s="1383" customFormat="1" customHeight="1" ht="18.75" hidden="1">
      <c r="A92" s="2194"/>
      <c r="C92" s="730"/>
      <c r="D92" s="728"/>
      <c r="E92" s="542" t="str">
        <f>FHD_NUM_P_54</f>
        <v/>
      </c>
      <c r="F92" s="1905" t="str">
        <f>FHD_P_54</f>
        <v/>
      </c>
      <c r="G92" s="1906" t="s">
        <v>580</v>
      </c>
      <c r="H92" s="972"/>
      <c r="I92" s="573"/>
      <c r="J92" s="270" t="str">
        <f>FHD_NOTE_P_54</f>
        <v/>
      </c>
      <c r="K92" s="729"/>
      <c r="L92" s="730"/>
      <c r="M92" s="730"/>
      <c r="R92" s="730"/>
      <c r="U92" s="731"/>
      <c r="AA92" s="732"/>
      <c r="AB92" s="732"/>
      <c r="AC92" s="732"/>
      <c r="AD92" s="732"/>
      <c r="AE92" s="732"/>
    </row>
    <row s="1383" customFormat="1" customHeight="1" ht="18.75" hidden="1">
      <c r="A93" s="2194"/>
      <c r="C93" s="730"/>
      <c r="D93" s="733"/>
      <c r="E93" s="542" t="str">
        <f>FHD_NUM_P_55</f>
        <v/>
      </c>
      <c r="F93" s="1905" t="str">
        <f>FHD_P_55</f>
        <v/>
      </c>
      <c r="G93" s="1909"/>
      <c r="H93" s="972"/>
      <c r="I93" s="573"/>
      <c r="J93" s="270" t="str">
        <f>FHD_NOTE_P_55</f>
        <v/>
      </c>
      <c r="K93" s="729"/>
      <c r="L93" s="730"/>
      <c r="M93" s="730"/>
      <c r="R93" s="730"/>
      <c r="U93" s="731"/>
      <c r="AA93" s="732"/>
      <c r="AB93" s="732"/>
      <c r="AC93" s="732"/>
      <c r="AD93" s="732"/>
      <c r="AE93" s="732"/>
    </row>
    <row s="1383" customFormat="1" customHeight="1" ht="18.75" hidden="1">
      <c r="A94" s="2194"/>
      <c r="C94" s="730"/>
      <c r="D94" s="728"/>
      <c r="E94" s="542" t="str">
        <f>FHD_NUM_P_56</f>
        <v/>
      </c>
      <c r="F94" s="1905" t="str">
        <f>FHD_P_56</f>
        <v/>
      </c>
      <c r="G94" s="1906" t="s">
        <v>582</v>
      </c>
      <c r="H94" s="972"/>
      <c r="I94" s="573"/>
      <c r="J94" s="270" t="str">
        <f>FHD_NOTE_P_56</f>
        <v/>
      </c>
      <c r="K94" s="729"/>
      <c r="L94" s="730"/>
      <c r="M94" s="730"/>
      <c r="R94" s="730"/>
      <c r="U94" s="731"/>
      <c r="AA94" s="732"/>
      <c r="AB94" s="732"/>
      <c r="AC94" s="732"/>
      <c r="AD94" s="732"/>
      <c r="AE94" s="732"/>
    </row>
    <row s="1660" customFormat="1" customHeight="1" ht="18.75" hidden="1">
      <c r="A95" s="2194"/>
      <c r="B95" s="904"/>
      <c r="C95" s="730"/>
      <c r="D95" s="728"/>
      <c r="E95" s="542" t="str">
        <f>FHD_NUM_P_57</f>
        <v/>
      </c>
      <c r="F95" s="1905" t="str">
        <f>FHD_P_57</f>
        <v/>
      </c>
      <c r="G95" s="1906" t="s">
        <v>557</v>
      </c>
      <c r="H95" s="971"/>
      <c r="I95" s="553"/>
      <c r="J95" s="270" t="str">
        <f>FHD_NOTE_P_57</f>
        <v/>
      </c>
      <c r="K95" s="729"/>
      <c r="L95" s="730"/>
      <c r="M95" s="730"/>
      <c r="N95" s="904"/>
      <c r="O95" s="904"/>
      <c r="P95" s="904"/>
      <c r="Q95" s="904"/>
      <c r="R95" s="730"/>
      <c r="S95" s="904"/>
      <c r="T95" s="904"/>
      <c r="U95" s="731"/>
      <c r="V95" s="904"/>
      <c r="W95" s="904"/>
      <c r="X95" s="904"/>
      <c r="Y95" s="904"/>
      <c r="Z95" s="904"/>
      <c r="AA95" s="732"/>
      <c r="AB95" s="732"/>
      <c r="AC95" s="732"/>
      <c r="AD95" s="732"/>
      <c r="AE95" s="732"/>
    </row>
    <row customHeight="1" ht="18.75" hidden="1">
      <c r="A96" s="2192" t="s">
        <v>583</v>
      </c>
      <c r="D96" s="1663"/>
      <c r="E96" s="542" t="str">
        <f>FHD_NUM_P_58</f>
        <v/>
      </c>
      <c r="F96" s="1905" t="str">
        <f>FHD_P_58</f>
        <v/>
      </c>
      <c r="G96" s="1906" t="s">
        <v>580</v>
      </c>
      <c r="H96" s="972"/>
      <c r="I96" s="573"/>
      <c r="J96" s="270" t="str">
        <f>FHD_NOTE_P_58</f>
        <v/>
      </c>
      <c r="K96" s="539"/>
    </row>
    <row customHeight="1" ht="18.75" hidden="1">
      <c r="A97" s="2192"/>
      <c r="D97" s="1663"/>
      <c r="E97" s="542" t="str">
        <f>FHD_NUM_P_59</f>
        <v/>
      </c>
      <c r="F97" s="1905" t="str">
        <f>FHD_P_59</f>
        <v/>
      </c>
      <c r="G97" s="1906" t="s">
        <v>580</v>
      </c>
      <c r="H97" s="972"/>
      <c r="I97" s="573"/>
      <c r="J97" s="270" t="str">
        <f>FHD_NOTE_P_59</f>
        <v/>
      </c>
      <c r="K97" s="539"/>
    </row>
    <row customHeight="1" ht="18.75" hidden="1">
      <c r="A98" s="2192"/>
      <c r="D98" s="1663"/>
      <c r="E98" s="542" t="str">
        <f>FHD_NUM_P_60</f>
        <v/>
      </c>
      <c r="F98" s="1905" t="str">
        <f>FHD_P_60</f>
        <v/>
      </c>
      <c r="G98" s="1906" t="s">
        <v>580</v>
      </c>
      <c r="H98" s="972"/>
      <c r="I98" s="573"/>
      <c r="J98" s="270" t="str">
        <f>FHD_NOTE_P_60</f>
        <v/>
      </c>
      <c r="K98" s="539"/>
    </row>
    <row s="1383" customFormat="1" customHeight="1" ht="18.75">
      <c r="A99" s="2192" t="s">
        <v>584</v>
      </c>
      <c r="C99" s="1661"/>
      <c r="D99" s="1663"/>
      <c r="E99" s="542" t="str">
        <f>FHD_NUM_P_61</f>
        <v>7</v>
      </c>
      <c r="F99" s="1905"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03" t="s">
        <v>555</v>
      </c>
      <c r="H99" s="974"/>
      <c r="I99" s="737"/>
      <c r="J99" s="270"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39"/>
      <c r="L99" s="1661"/>
      <c r="M99" s="1661"/>
      <c r="R99" s="1661"/>
      <c r="U99" s="540"/>
      <c r="AA99" s="1657"/>
      <c r="AB99" s="1657"/>
      <c r="AC99" s="1657"/>
      <c r="AD99" s="1657"/>
      <c r="AE99" s="1657"/>
    </row>
    <row s="1667" customFormat="1" customHeight="1" ht="0.75">
      <c r="A100" s="2192"/>
      <c r="D100" s="544"/>
      <c r="E100" s="1008" t="str">
        <f>E99&amp;".0"</f>
        <v>7.0</v>
      </c>
      <c r="F100" s="989"/>
      <c r="G100" s="990"/>
      <c r="H100" s="987"/>
      <c r="I100" s="987"/>
      <c r="J100" s="991"/>
    </row>
    <row customHeight="1" ht="15">
      <c r="A101" s="2192"/>
      <c r="D101" s="1658"/>
      <c r="E101" s="966"/>
      <c r="F101" s="967" t="s">
        <v>585</v>
      </c>
      <c r="G101" s="568"/>
      <c r="H101" s="569"/>
      <c r="I101" s="569"/>
      <c r="J101" s="999" t="s">
        <v>586</v>
      </c>
      <c r="K101" s="539"/>
    </row>
    <row s="1383" customFormat="1" customHeight="1" ht="18.75">
      <c r="A102" s="2192"/>
      <c r="C102" s="1661"/>
      <c r="D102" s="1663"/>
      <c r="E102" s="542" t="str">
        <f>FHD_NUM_P_62</f>
        <v>8</v>
      </c>
      <c r="F102" s="1905" t="str">
        <f>FHD_P_62</f>
        <v>Тепловая нагрузка по договорам, заключенным в рамках осуществления регулируемых видов деятельности</v>
      </c>
      <c r="G102" s="1902" t="s">
        <v>555</v>
      </c>
      <c r="H102" s="553"/>
      <c r="I102" s="553"/>
      <c r="J102" s="270"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39"/>
      <c r="L102" s="1661"/>
      <c r="M102" s="1661"/>
      <c r="R102" s="1661"/>
      <c r="U102" s="540"/>
      <c r="AA102" s="1657"/>
      <c r="AB102" s="1657"/>
      <c r="AC102" s="1657"/>
      <c r="AD102" s="1657"/>
      <c r="AE102" s="1657"/>
    </row>
    <row s="1383" customFormat="1" customHeight="1" ht="18.75">
      <c r="A103" s="2192"/>
      <c r="C103" s="1661"/>
      <c r="D103" s="1663"/>
      <c r="E103" s="542" t="str">
        <f>FHD_NUM_P_63</f>
        <v>9</v>
      </c>
      <c r="F103" s="1905" t="str">
        <f>FHD_P_63</f>
        <v>Объем вырабатываемой регулируемой организацией тепловой энергии в рамках осуществления регулируемых видов деятельности</v>
      </c>
      <c r="G103" s="1902" t="s">
        <v>582</v>
      </c>
      <c r="H103" s="573"/>
      <c r="I103" s="573"/>
      <c r="J103" s="270"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39"/>
      <c r="L103" s="1661"/>
      <c r="M103" s="1661"/>
      <c r="R103" s="1661"/>
      <c r="U103" s="540"/>
      <c r="AA103" s="1657"/>
      <c r="AB103" s="1657"/>
      <c r="AC103" s="1657"/>
      <c r="AD103" s="1657"/>
      <c r="AE103" s="1657"/>
    </row>
    <row s="1383" customFormat="1" customHeight="1" ht="18.75">
      <c r="A104" s="2192"/>
      <c r="C104" s="1661" t="s">
        <v>587</v>
      </c>
      <c r="D104" s="1663"/>
      <c r="E104" s="542" t="str">
        <f>FHD_NUM_P_64</f>
        <v>9.1</v>
      </c>
      <c r="F104" s="1905" t="str">
        <f>FHD_P_64</f>
        <v>Объем приобретаемой регулируемой организацией тепловой энергии в рамках осуществления регулируемых видов деятельности</v>
      </c>
      <c r="G104" s="1902" t="s">
        <v>582</v>
      </c>
      <c r="H104" s="541"/>
      <c r="I104" s="541"/>
      <c r="J104" s="270" t="str">
        <f>FHD_NOTE_P_64</f>
        <v>Информация указывается только едиными теплоснабжающими организациями.</v>
      </c>
      <c r="K104" s="539"/>
      <c r="L104" s="1661"/>
      <c r="M104" s="1661"/>
      <c r="R104" s="1661"/>
      <c r="U104" s="540"/>
      <c r="AA104" s="1657"/>
      <c r="AB104" s="1657"/>
      <c r="AC104" s="1657"/>
      <c r="AD104" s="1657"/>
      <c r="AE104" s="1657"/>
    </row>
    <row s="1383" customFormat="1" customHeight="1" ht="18.75">
      <c r="A105" s="2192"/>
      <c r="C105" s="1661"/>
      <c r="D105" s="1663"/>
      <c r="E105" s="542" t="str">
        <f>FHD_NUM_P_65</f>
        <v>10</v>
      </c>
      <c r="F105" s="1905"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02" t="s">
        <v>582</v>
      </c>
      <c r="H105" s="573"/>
      <c r="I105" s="573"/>
      <c r="J105" s="270"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39"/>
      <c r="L105" s="1661"/>
      <c r="M105" s="1661"/>
      <c r="R105" s="1661"/>
      <c r="U105" s="540"/>
      <c r="AA105" s="1657"/>
      <c r="AB105" s="1657"/>
      <c r="AC105" s="1657"/>
      <c r="AD105" s="1657"/>
      <c r="AE105" s="1657"/>
    </row>
    <row s="1383" customFormat="1" customHeight="1" ht="18.75">
      <c r="A106" s="2192"/>
      <c r="C106" s="1661"/>
      <c r="D106" s="1663"/>
      <c r="E106" s="542" t="str">
        <f>FHD_NUM_P_66</f>
        <v>10.1</v>
      </c>
      <c r="F106" s="1541" t="str">
        <f>FHD_P_66</f>
        <v>По приборам учёта </v>
      </c>
      <c r="G106" s="1902" t="s">
        <v>582</v>
      </c>
      <c r="H106" s="573"/>
      <c r="I106" s="573"/>
      <c r="J106" s="270" t="str">
        <f>FHD_NOTE_P_66</f>
        <v/>
      </c>
      <c r="K106" s="539"/>
      <c r="L106" s="1661"/>
      <c r="M106" s="1661"/>
      <c r="R106" s="1661"/>
      <c r="U106" s="540"/>
      <c r="AA106" s="1657"/>
      <c r="AB106" s="1657"/>
      <c r="AC106" s="1657"/>
      <c r="AD106" s="1657"/>
      <c r="AE106" s="1657"/>
    </row>
    <row s="1383" customFormat="1" customHeight="1" ht="18.75">
      <c r="A107" s="2192"/>
      <c r="C107" s="1661"/>
      <c r="D107" s="1663"/>
      <c r="E107" s="542" t="str">
        <f>FHD_NUM_P_67</f>
        <v>10.1.1</v>
      </c>
      <c r="F107" s="1675"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02" t="s">
        <v>582</v>
      </c>
      <c r="H107" s="573"/>
      <c r="I107" s="573"/>
      <c r="J107" s="270" t="str">
        <f>FHD_NOTE_P_67</f>
        <v/>
      </c>
      <c r="K107" s="539"/>
      <c r="L107" s="1661"/>
      <c r="M107" s="1661"/>
      <c r="R107" s="1661"/>
      <c r="U107" s="540"/>
      <c r="AA107" s="1657"/>
      <c r="AB107" s="1657"/>
      <c r="AC107" s="1657"/>
      <c r="AD107" s="1657"/>
      <c r="AE107" s="1657"/>
    </row>
    <row s="1383" customFormat="1" customHeight="1" ht="18.75">
      <c r="A108" s="2192"/>
      <c r="C108" s="1661"/>
      <c r="D108" s="1663"/>
      <c r="E108" s="542" t="str">
        <f>FHD_NUM_P_68</f>
        <v>10.2</v>
      </c>
      <c r="F108" s="1541" t="str">
        <f>FHD_P_68</f>
        <v>Расчётным путём</v>
      </c>
      <c r="G108" s="1902" t="s">
        <v>582</v>
      </c>
      <c r="H108" s="573"/>
      <c r="I108" s="573"/>
      <c r="J108" s="270" t="str">
        <f>FHD_NOTE_P_68</f>
        <v/>
      </c>
      <c r="K108" s="539"/>
      <c r="L108" s="1661"/>
      <c r="M108" s="1661"/>
      <c r="R108" s="1661"/>
      <c r="U108" s="540"/>
      <c r="AA108" s="1657"/>
      <c r="AB108" s="1657"/>
      <c r="AC108" s="1657"/>
      <c r="AD108" s="1657"/>
      <c r="AE108" s="1657"/>
    </row>
    <row s="1383" customFormat="1" customHeight="1" ht="18.75">
      <c r="A109" s="2192"/>
      <c r="C109" s="1661"/>
      <c r="D109" s="1663"/>
      <c r="E109" s="542" t="str">
        <f>FHD_NUM_P_69</f>
        <v>10.3</v>
      </c>
      <c r="F109" s="1541" t="str">
        <f>FHD_P_69</f>
        <v>По нормативам потребления коммунальных услуг и нормативам потребления коммунальных ресурсов</v>
      </c>
      <c r="G109" s="1902" t="s">
        <v>582</v>
      </c>
      <c r="H109" s="573"/>
      <c r="I109" s="573"/>
      <c r="J109" s="270" t="str">
        <f>FHD_NOTE_P_69</f>
        <v/>
      </c>
      <c r="K109" s="539"/>
      <c r="L109" s="1661"/>
      <c r="M109" s="1661"/>
      <c r="R109" s="1661"/>
      <c r="U109" s="540"/>
      <c r="AA109" s="1657"/>
      <c r="AB109" s="1657"/>
      <c r="AC109" s="1657"/>
      <c r="AD109" s="1657"/>
      <c r="AE109" s="1657"/>
    </row>
    <row s="1383" customFormat="1" customHeight="1" ht="22.5">
      <c r="A110" s="2192"/>
      <c r="C110" s="1661"/>
      <c r="D110" s="1663"/>
      <c r="E110" s="542" t="str">
        <f>FHD_NUM_P_70</f>
        <v>11</v>
      </c>
      <c r="F110" s="1905"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02" t="s">
        <v>588</v>
      </c>
      <c r="H110" s="553"/>
      <c r="I110" s="553"/>
      <c r="J110" s="270" t="str">
        <f>FHD_NOTE_P_70</f>
        <v/>
      </c>
      <c r="K110" s="539"/>
      <c r="L110" s="1661"/>
      <c r="M110" s="1661"/>
      <c r="R110" s="1661"/>
      <c r="U110" s="540"/>
      <c r="AA110" s="1657"/>
      <c r="AB110" s="1657"/>
      <c r="AC110" s="1657"/>
      <c r="AD110" s="1657"/>
      <c r="AE110" s="1657"/>
    </row>
    <row s="1383" customFormat="1" customHeight="1" ht="22.5">
      <c r="A111" s="2192"/>
      <c r="C111" s="1661"/>
      <c r="D111" s="1663"/>
      <c r="E111" s="542" t="str">
        <f>FHD_NUM_P_71</f>
        <v>12</v>
      </c>
      <c r="F111" s="1905" t="str">
        <f>FHD_P_71</f>
        <v>Фактический объем потерь при передаче тепловой энергии</v>
      </c>
      <c r="G111" s="1902" t="s">
        <v>588</v>
      </c>
      <c r="H111" s="553"/>
      <c r="I111" s="553"/>
      <c r="J111" s="270" t="str">
        <f>FHD_NOTE_P_71</f>
        <v/>
      </c>
      <c r="K111" s="539"/>
      <c r="L111" s="1661"/>
      <c r="M111" s="1661"/>
      <c r="R111" s="1661"/>
      <c r="U111" s="540"/>
      <c r="AA111" s="1657"/>
      <c r="AB111" s="1657"/>
      <c r="AC111" s="1657"/>
      <c r="AD111" s="1657"/>
      <c r="AE111" s="1657"/>
    </row>
    <row customHeight="1" ht="18.75">
      <c r="D112" s="1663"/>
      <c r="E112" s="542" t="str">
        <f>FHD_NUM_P_72</f>
        <v>13</v>
      </c>
      <c r="F112" s="1905" t="str">
        <f>FHD_P_72</f>
        <v>Среднесписочная численность основного производственного персонала</v>
      </c>
      <c r="G112" s="1901" t="s">
        <v>589</v>
      </c>
      <c r="H112" s="573"/>
      <c r="I112" s="573"/>
      <c r="J112" s="270" t="str">
        <f>FHD_NOTE_P_72</f>
        <v/>
      </c>
      <c r="K112" s="539"/>
    </row>
    <row customHeight="1" ht="18.75">
      <c r="A113" s="984" t="s">
        <v>590</v>
      </c>
      <c r="D113" s="1663"/>
      <c r="E113" s="542" t="str">
        <f>FHD_NUM_P_73</f>
        <v>14</v>
      </c>
      <c r="F113" s="1905" t="str">
        <f>FHD_P_73</f>
        <v>Среднесписочная численность административно-управленческого персонала</v>
      </c>
      <c r="G113" s="965" t="s">
        <v>589</v>
      </c>
      <c r="H113" s="963"/>
      <c r="I113" s="963"/>
      <c r="J113" s="270" t="str">
        <f>FHD_NOTE_P_73</f>
        <v/>
      </c>
      <c r="K113" s="539"/>
    </row>
    <row customHeight="1" ht="33.75" hidden="1">
      <c r="A114" s="984" t="s">
        <v>591</v>
      </c>
      <c r="D114" s="1663"/>
      <c r="E114" s="542" t="str">
        <f>FHD_NUM_P_74</f>
        <v/>
      </c>
      <c r="F114" s="1905" t="str">
        <f>FHD_P_74</f>
        <v/>
      </c>
      <c r="G114" s="1901" t="s">
        <v>592</v>
      </c>
      <c r="H114" s="573"/>
      <c r="I114" s="573"/>
      <c r="J114" s="270" t="str">
        <f>FHD_NOTE_P_74</f>
        <v/>
      </c>
      <c r="K114" s="539"/>
    </row>
    <row s="1660" customFormat="1" customHeight="1" ht="18.75" hidden="1">
      <c r="A115" s="2194" t="s">
        <v>593</v>
      </c>
      <c r="B115" s="904"/>
      <c r="C115" s="730"/>
      <c r="D115" s="728"/>
      <c r="E115" s="542" t="str">
        <f>FHD_NUM_P_75</f>
        <v/>
      </c>
      <c r="F115" s="1905" t="str">
        <f>FHD_P_75</f>
        <v/>
      </c>
      <c r="G115" s="1901" t="s">
        <v>557</v>
      </c>
      <c r="H115" s="553"/>
      <c r="I115" s="553"/>
      <c r="J115" s="270" t="str">
        <f>FHD_NOTE_P_75</f>
        <v/>
      </c>
      <c r="K115" s="729"/>
      <c r="L115" s="730"/>
      <c r="M115" s="730"/>
      <c r="N115" s="904"/>
      <c r="O115" s="904"/>
      <c r="P115" s="904"/>
      <c r="Q115" s="904"/>
      <c r="R115" s="730"/>
      <c r="S115" s="904"/>
      <c r="T115" s="904"/>
      <c r="U115" s="731"/>
      <c r="V115" s="904"/>
      <c r="W115" s="904"/>
      <c r="X115" s="904"/>
      <c r="Y115" s="904"/>
      <c r="Z115" s="904"/>
      <c r="AA115" s="732"/>
      <c r="AB115" s="732"/>
      <c r="AC115" s="732"/>
      <c r="AD115" s="732"/>
      <c r="AE115" s="732"/>
    </row>
    <row s="1660" customFormat="1" customHeight="1" ht="18.75" hidden="1">
      <c r="A116" s="2194"/>
      <c r="B116" s="904"/>
      <c r="C116" s="730"/>
      <c r="D116" s="728"/>
      <c r="E116" s="542" t="str">
        <f>FHD_NUM_P_76</f>
        <v/>
      </c>
      <c r="F116" s="1905" t="str">
        <f>FHD_P_76</f>
        <v/>
      </c>
      <c r="G116" s="1901" t="s">
        <v>557</v>
      </c>
      <c r="H116" s="553"/>
      <c r="I116" s="553"/>
      <c r="J116" s="270" t="str">
        <f>FHD_NOTE_P_76</f>
        <v/>
      </c>
      <c r="K116" s="729"/>
      <c r="L116" s="730"/>
      <c r="M116" s="730"/>
      <c r="N116" s="904"/>
      <c r="O116" s="904"/>
      <c r="P116" s="904"/>
      <c r="Q116" s="904"/>
      <c r="R116" s="730"/>
      <c r="S116" s="904"/>
      <c r="T116" s="904"/>
      <c r="U116" s="731"/>
      <c r="V116" s="904"/>
      <c r="W116" s="904"/>
      <c r="X116" s="904"/>
      <c r="Y116" s="904"/>
      <c r="Z116" s="904"/>
      <c r="AA116" s="732"/>
      <c r="AB116" s="732"/>
      <c r="AC116" s="732"/>
      <c r="AD116" s="732"/>
      <c r="AE116" s="732"/>
    </row>
    <row s="1660" customFormat="1" customHeight="1" ht="18.75" hidden="1">
      <c r="A117" s="2194"/>
      <c r="B117" s="904"/>
      <c r="C117" s="730"/>
      <c r="D117" s="728"/>
      <c r="E117" s="542" t="str">
        <f>FHD_NUM_P_77</f>
        <v/>
      </c>
      <c r="F117" s="1905" t="str">
        <f>FHD_P_77</f>
        <v/>
      </c>
      <c r="G117" s="1901" t="s">
        <v>557</v>
      </c>
      <c r="H117" s="553"/>
      <c r="I117" s="553"/>
      <c r="J117" s="270" t="str">
        <f>FHD_NOTE_P_77</f>
        <v/>
      </c>
      <c r="K117" s="729"/>
      <c r="L117" s="730"/>
      <c r="M117" s="730"/>
      <c r="N117" s="904"/>
      <c r="O117" s="904"/>
      <c r="P117" s="904"/>
      <c r="Q117" s="904"/>
      <c r="R117" s="730"/>
      <c r="S117" s="904"/>
      <c r="T117" s="904"/>
      <c r="U117" s="731"/>
      <c r="V117" s="904"/>
      <c r="W117" s="904"/>
      <c r="X117" s="904"/>
      <c r="Y117" s="904"/>
      <c r="Z117" s="904"/>
      <c r="AA117" s="732"/>
      <c r="AB117" s="732"/>
      <c r="AC117" s="732"/>
      <c r="AD117" s="732"/>
      <c r="AE117" s="732"/>
    </row>
    <row s="1667" customFormat="1" customHeight="1" ht="0.75" hidden="1">
      <c r="A118" s="2194"/>
      <c r="D118" s="544"/>
      <c r="E118" s="1008" t="str">
        <f>E117&amp;".0"</f>
        <v>.0</v>
      </c>
      <c r="F118" s="992"/>
      <c r="G118" s="1676"/>
      <c r="H118" s="987"/>
      <c r="I118" s="987"/>
      <c r="J118" s="991"/>
    </row>
    <row s="1660" customFormat="1" customHeight="1" ht="15" hidden="1">
      <c r="A119" s="2194"/>
      <c r="B119" s="904"/>
      <c r="C119" s="730"/>
      <c r="D119" s="741"/>
      <c r="E119" s="968"/>
      <c r="F119" s="969" t="s">
        <v>594</v>
      </c>
      <c r="G119" s="742"/>
      <c r="H119" s="743"/>
      <c r="I119" s="743"/>
      <c r="J119" s="998" t="s">
        <v>595</v>
      </c>
      <c r="K119" s="729"/>
      <c r="L119" s="730"/>
      <c r="M119" s="730"/>
      <c r="N119" s="904"/>
      <c r="O119" s="904"/>
      <c r="P119" s="904"/>
      <c r="Q119" s="904"/>
      <c r="R119" s="730"/>
      <c r="S119" s="904"/>
      <c r="T119" s="904"/>
      <c r="U119" s="731"/>
      <c r="V119" s="904"/>
      <c r="W119" s="904"/>
      <c r="X119" s="904"/>
      <c r="Y119" s="904"/>
      <c r="Z119" s="904"/>
      <c r="AA119" s="732"/>
      <c r="AB119" s="732"/>
      <c r="AC119" s="732"/>
      <c r="AD119" s="732"/>
      <c r="AE119" s="732"/>
    </row>
    <row customHeight="1" ht="22.5">
      <c r="A120" s="2192" t="s">
        <v>596</v>
      </c>
      <c r="D120" s="1663"/>
      <c r="E120" s="542" t="str">
        <f>FHD_NUM_P_78</f>
        <v>15</v>
      </c>
      <c r="F120" s="1905"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02" t="s">
        <v>559</v>
      </c>
      <c r="H120" s="573"/>
      <c r="I120" s="573"/>
      <c r="J120" s="270" t="str">
        <f>FHD_NOTE_P_78</f>
        <v/>
      </c>
      <c r="K120" s="539"/>
    </row>
    <row s="1667" customFormat="1" customHeight="1" ht="0.75">
      <c r="A121" s="2192"/>
      <c r="D121" s="544"/>
      <c r="E121" s="1008" t="str">
        <f>E120&amp;".0"</f>
        <v>15.0</v>
      </c>
      <c r="F121" s="992"/>
      <c r="G121" s="1676"/>
      <c r="H121" s="987"/>
      <c r="I121" s="987"/>
      <c r="J121" s="991"/>
    </row>
    <row customHeight="1" ht="15">
      <c r="A122" s="2192"/>
      <c r="D122" s="1658"/>
      <c r="E122" s="566"/>
      <c r="F122" s="1163" t="s">
        <v>585</v>
      </c>
      <c r="G122" s="568"/>
      <c r="H122" s="569"/>
      <c r="I122" s="569"/>
      <c r="J122" s="999" t="s">
        <v>597</v>
      </c>
      <c r="K122" s="539"/>
    </row>
    <row customHeight="1" ht="22.5">
      <c r="A123" s="2192"/>
      <c r="D123" s="1663"/>
      <c r="E123" s="542" t="str">
        <f>FHD_NUM_P_79</f>
        <v>16</v>
      </c>
      <c r="F123" s="1905"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03" t="s">
        <v>561</v>
      </c>
      <c r="H123" s="573"/>
      <c r="I123" s="573"/>
      <c r="J123" s="270"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39"/>
    </row>
    <row s="1667" customFormat="1" customHeight="1" ht="0.75">
      <c r="A124" s="2192"/>
      <c r="D124" s="544"/>
      <c r="E124" s="1008" t="str">
        <f>E123&amp;".0"</f>
        <v>16.0</v>
      </c>
      <c r="F124" s="993"/>
      <c r="G124" s="1676"/>
      <c r="H124" s="987"/>
      <c r="I124" s="987"/>
      <c r="J124" s="991"/>
    </row>
    <row customHeight="1" ht="15">
      <c r="A125" s="2192"/>
      <c r="D125" s="1658"/>
      <c r="E125" s="566"/>
      <c r="F125" s="1163" t="s">
        <v>585</v>
      </c>
      <c r="G125" s="568"/>
      <c r="H125" s="569"/>
      <c r="I125" s="569"/>
      <c r="J125" s="999" t="s">
        <v>598</v>
      </c>
      <c r="K125" s="539"/>
    </row>
    <row customHeight="1" ht="22.5">
      <c r="A126" s="2192"/>
      <c r="D126" s="1663"/>
      <c r="E126" s="542" t="str">
        <f>FHD_NUM_P_80</f>
        <v>17</v>
      </c>
      <c r="F126" s="1905"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03" t="s">
        <v>599</v>
      </c>
      <c r="H126" s="553"/>
      <c r="I126" s="553"/>
      <c r="J126" s="270" t="str">
        <f>FHD_NOTE_P_80</f>
        <v>Регулируемыми организациями указывается информация с по договорам, заключенным в рамках осуществления регулируемой деятельности.</v>
      </c>
      <c r="K126" s="539"/>
    </row>
    <row customHeight="1" ht="18.75">
      <c r="A127" s="2192"/>
      <c r="D127" s="1663"/>
      <c r="E127" s="542" t="str">
        <f>FHD_NUM_P_81</f>
        <v>18</v>
      </c>
      <c r="F127" s="1905"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03" t="s">
        <v>600</v>
      </c>
      <c r="H127" s="553"/>
      <c r="I127" s="553"/>
      <c r="J127" s="270" t="str">
        <f>FHD_NOTE_P_81</f>
        <v>Регулируемыми организациями указывается информация с по договорам, заключенным в рамках осуществления регулируемой деятельности.</v>
      </c>
      <c r="K127" s="539"/>
    </row>
    <row customHeight="1" ht="18.75">
      <c r="A128" s="2192"/>
      <c r="C128" s="1661" t="s">
        <v>587</v>
      </c>
      <c r="D128" s="1663"/>
      <c r="E128" s="542" t="str">
        <f>FHD_NUM_P_82</f>
        <v>19</v>
      </c>
      <c r="F128" s="1905"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03" t="s">
        <v>311</v>
      </c>
      <c r="H128" s="398"/>
      <c r="I128" s="398"/>
      <c r="J128" s="270" t="str">
        <f>FHD_NOTE_P_82</f>
        <v>Указывается ссылка на документ, предварительно загруженный в хранилище файлов ФГИС ЕИАС.</v>
      </c>
      <c r="K128" s="539"/>
    </row>
    <row customHeight="1" ht="18.75">
      <c r="A129" s="2192"/>
      <c r="C129" s="1661" t="s">
        <v>587</v>
      </c>
      <c r="D129" s="1663"/>
      <c r="E129" s="542" t="str">
        <f>FHD_NUM_P_83</f>
        <v>19.1</v>
      </c>
      <c r="F129" s="1541" t="str">
        <f>FHD_P_83</f>
        <v>Информация о показателях физического износа объектов теплоснабжения</v>
      </c>
      <c r="G129" s="1903" t="s">
        <v>311</v>
      </c>
      <c r="H129" s="398"/>
      <c r="I129" s="398"/>
      <c r="J129" s="270" t="str">
        <f>FHD_NOTE_P_83</f>
        <v>Указывается ссылка на документ, предварительно загруженный в хранилище файлов ФГИС ЕИАС.</v>
      </c>
      <c r="K129" s="539"/>
    </row>
    <row customHeight="1" ht="18.75">
      <c r="A130" s="2192"/>
      <c r="C130" s="1661" t="s">
        <v>587</v>
      </c>
      <c r="D130" s="1663"/>
      <c r="E130" s="542" t="str">
        <f>FHD_NUM_P_84</f>
        <v>19.2</v>
      </c>
      <c r="F130" s="1541" t="str">
        <f>FHD_P_84</f>
        <v>Информация о показателях энергетической эффективности объектов теплоснабжения</v>
      </c>
      <c r="G130" s="1903" t="s">
        <v>311</v>
      </c>
      <c r="H130" s="398"/>
      <c r="I130" s="398"/>
      <c r="J130" s="270" t="str">
        <f>FHD_NOTE_P_84</f>
        <v>Указывается ссылка на документ, предварительно загруженный в хранилище файлов ФГИС ЕИАС.</v>
      </c>
      <c r="K130" s="539"/>
    </row>
    <row customHeight="1" ht="11.25">
      <c r="D131" s="1663"/>
    </row>
    <row customHeight="1" ht="12.75">
      <c r="D132" s="1663"/>
      <c r="E132" s="324"/>
      <c r="F132" s="361"/>
      <c r="G132" s="361"/>
      <c r="H132" s="361"/>
      <c r="I132" s="1672"/>
      <c r="J132" s="577"/>
    </row>
    <row s="1666" customFormat="1" customHeight="1" ht="11.25">
      <c r="A133" s="982"/>
      <c r="B133" s="1661"/>
      <c r="C133" s="1661"/>
      <c r="D133" s="339"/>
      <c r="F133" s="1665"/>
      <c r="G133" s="1656"/>
      <c r="H133" s="1656"/>
      <c r="I133" s="1656"/>
      <c r="K133" s="1155"/>
      <c r="L133" s="1661"/>
      <c r="M133" s="1661"/>
      <c r="N133" s="1155"/>
      <c r="O133" s="1155"/>
      <c r="P133" s="1155"/>
      <c r="Q133" s="1155"/>
      <c r="R133" s="1661"/>
      <c r="S133" s="1155"/>
      <c r="T133" s="1155"/>
      <c r="U133" s="540"/>
      <c r="V133" s="1155"/>
      <c r="W133" s="1155"/>
      <c r="X133" s="1155"/>
      <c r="Y133" s="1155"/>
      <c r="Z133" s="1155"/>
      <c r="AA133" s="1657"/>
      <c r="AB133" s="562"/>
      <c r="AC133" s="562"/>
      <c r="AD133" s="562"/>
      <c r="AE133" s="562"/>
    </row>
    <row s="1666" customFormat="1" customHeight="1" ht="11.25">
      <c r="A134" s="982"/>
      <c r="B134" s="1661"/>
      <c r="C134" s="1661"/>
      <c r="D134" s="339"/>
      <c r="K134" s="1155"/>
      <c r="L134" s="1661"/>
      <c r="M134" s="1661"/>
      <c r="N134" s="1155"/>
      <c r="O134" s="1155"/>
      <c r="P134" s="1155"/>
      <c r="Q134" s="1155"/>
      <c r="R134" s="1661"/>
      <c r="S134" s="1155"/>
      <c r="T134" s="1155"/>
      <c r="U134" s="540"/>
      <c r="V134" s="1155"/>
      <c r="W134" s="1155"/>
      <c r="X134" s="1155"/>
      <c r="Y134" s="1155"/>
      <c r="Z134" s="1155"/>
      <c r="AA134" s="1657"/>
      <c r="AB134" s="562"/>
      <c r="AC134" s="562"/>
      <c r="AD134" s="562"/>
      <c r="AE134" s="562"/>
    </row>
    <row s="1666" customFormat="1" customHeight="1" ht="11.25">
      <c r="A135" s="982"/>
      <c r="B135" s="1661"/>
      <c r="C135" s="1661"/>
      <c r="D135" s="339"/>
      <c r="K135" s="1155"/>
      <c r="L135" s="1661"/>
      <c r="M135" s="1661"/>
      <c r="N135" s="1155"/>
      <c r="O135" s="1155"/>
      <c r="P135" s="1155"/>
      <c r="Q135" s="1155"/>
      <c r="R135" s="1661"/>
      <c r="S135" s="1155"/>
      <c r="T135" s="1155"/>
      <c r="U135" s="540"/>
      <c r="V135" s="1155"/>
      <c r="W135" s="1155"/>
      <c r="X135" s="1155"/>
      <c r="Y135" s="1155"/>
      <c r="Z135" s="1155"/>
      <c r="AA135" s="1657"/>
      <c r="AB135" s="562"/>
      <c r="AC135" s="562"/>
      <c r="AD135" s="562"/>
      <c r="AE135" s="562"/>
    </row>
    <row s="1666" customFormat="1" customHeight="1" ht="11.25">
      <c r="A136" s="982"/>
      <c r="B136" s="1661"/>
      <c r="C136" s="1661"/>
      <c r="D136" s="339"/>
      <c r="H136" s="562" t="str">
        <f>IF(H30-H31&lt;&gt;H72,"WARNING","")</f>
        <v/>
      </c>
      <c r="I136" s="562" t="str">
        <f>IF(I30-I31&lt;&gt;I72,"WARNING","")</f>
        <v/>
      </c>
      <c r="K136" s="1155"/>
      <c r="L136" s="1661"/>
      <c r="M136" s="1661"/>
      <c r="N136" s="1155"/>
      <c r="O136" s="1155"/>
      <c r="P136" s="1155"/>
      <c r="Q136" s="1155"/>
      <c r="R136" s="1661"/>
      <c r="S136" s="1155"/>
      <c r="T136" s="1155"/>
      <c r="U136" s="540"/>
      <c r="V136" s="1155"/>
      <c r="W136" s="1155"/>
      <c r="X136" s="1155"/>
      <c r="Y136" s="1155"/>
      <c r="Z136" s="1155"/>
      <c r="AA136" s="1657"/>
      <c r="AB136" s="562"/>
      <c r="AC136" s="562"/>
      <c r="AD136" s="562"/>
      <c r="AE136" s="562"/>
    </row>
    <row s="1666" customFormat="1" customHeight="1" ht="11.25">
      <c r="A137" s="982"/>
      <c r="B137" s="1661"/>
      <c r="C137" s="1661"/>
      <c r="D137" s="339"/>
      <c r="K137" s="1155"/>
      <c r="L137" s="1661"/>
      <c r="M137" s="1661"/>
      <c r="N137" s="1155"/>
      <c r="O137" s="1155"/>
      <c r="P137" s="1155"/>
      <c r="Q137" s="1155"/>
      <c r="R137" s="1661"/>
      <c r="S137" s="1155"/>
      <c r="T137" s="1155"/>
      <c r="U137" s="540"/>
      <c r="V137" s="1155"/>
      <c r="W137" s="1155"/>
      <c r="X137" s="1155"/>
      <c r="Y137" s="1155"/>
      <c r="Z137" s="1155"/>
      <c r="AA137" s="1657"/>
      <c r="AB137" s="562"/>
      <c r="AC137" s="562"/>
      <c r="AD137" s="562"/>
      <c r="AE137" s="562"/>
    </row>
    <row s="1666" customFormat="1" customHeight="1" ht="11.25">
      <c r="A138" s="982"/>
      <c r="B138" s="1661"/>
      <c r="C138" s="1661"/>
      <c r="D138" s="339"/>
      <c r="K138" s="1155"/>
      <c r="L138" s="1661"/>
      <c r="M138" s="1661"/>
      <c r="N138" s="1155"/>
      <c r="O138" s="1155"/>
      <c r="P138" s="1155"/>
      <c r="Q138" s="1155"/>
      <c r="R138" s="1661"/>
      <c r="S138" s="1155"/>
      <c r="T138" s="1155"/>
      <c r="U138" s="540"/>
      <c r="V138" s="1155"/>
      <c r="W138" s="1155"/>
      <c r="X138" s="1155"/>
      <c r="Y138" s="1155"/>
      <c r="Z138" s="1155"/>
      <c r="AA138" s="1657"/>
      <c r="AB138" s="562"/>
      <c r="AC138" s="562"/>
      <c r="AD138" s="562"/>
      <c r="AE138" s="562"/>
    </row>
    <row s="1666" customFormat="1" customHeight="1" ht="11.25">
      <c r="A139" s="982"/>
      <c r="B139" s="1661"/>
      <c r="C139" s="1661"/>
      <c r="D139" s="339"/>
      <c r="K139" s="1155"/>
      <c r="L139" s="1661"/>
      <c r="M139" s="1661"/>
      <c r="N139" s="1155"/>
      <c r="O139" s="1155"/>
      <c r="P139" s="1155"/>
      <c r="Q139" s="1155"/>
      <c r="R139" s="1661"/>
      <c r="S139" s="1155"/>
      <c r="T139" s="1155"/>
      <c r="U139" s="540"/>
      <c r="V139" s="1155"/>
      <c r="W139" s="1155"/>
      <c r="X139" s="1155"/>
      <c r="Y139" s="1155"/>
      <c r="Z139" s="1155"/>
      <c r="AA139" s="1657"/>
      <c r="AB139" s="562"/>
      <c r="AC139" s="562"/>
      <c r="AD139" s="562"/>
      <c r="AE139" s="562"/>
    </row>
    <row s="1666" customFormat="1" customHeight="1" ht="11.25">
      <c r="A140" s="982"/>
      <c r="B140" s="1661"/>
      <c r="C140" s="1661"/>
      <c r="D140" s="339"/>
      <c r="K140" s="1155"/>
      <c r="L140" s="1661"/>
      <c r="M140" s="1661"/>
      <c r="N140" s="1155"/>
      <c r="O140" s="1155"/>
      <c r="P140" s="1155"/>
      <c r="Q140" s="1155"/>
      <c r="R140" s="1661"/>
      <c r="S140" s="1155"/>
      <c r="T140" s="1155"/>
      <c r="U140" s="540"/>
      <c r="V140" s="1155"/>
      <c r="W140" s="1155"/>
      <c r="X140" s="1155"/>
      <c r="Y140" s="1155"/>
      <c r="Z140" s="1155"/>
      <c r="AA140" s="1657"/>
      <c r="AB140" s="562"/>
      <c r="AC140" s="562"/>
      <c r="AD140" s="562"/>
      <c r="AE140" s="562"/>
    </row>
    <row s="1666" customFormat="1" customHeight="1" ht="11.25">
      <c r="A141" s="982"/>
      <c r="B141" s="1661"/>
      <c r="C141" s="1661"/>
      <c r="D141" s="339"/>
      <c r="K141" s="1155"/>
      <c r="L141" s="1661"/>
      <c r="M141" s="1661"/>
      <c r="N141" s="1155"/>
      <c r="O141" s="1155"/>
      <c r="P141" s="1155"/>
      <c r="Q141" s="1155"/>
      <c r="R141" s="1661"/>
      <c r="S141" s="1155"/>
      <c r="T141" s="1155"/>
      <c r="U141" s="540"/>
      <c r="V141" s="1155"/>
      <c r="W141" s="1155"/>
      <c r="X141" s="1155"/>
      <c r="Y141" s="1155"/>
      <c r="Z141" s="1155"/>
      <c r="AA141" s="1657"/>
      <c r="AB141" s="562"/>
      <c r="AC141" s="562"/>
      <c r="AD141" s="562"/>
      <c r="AE141" s="562"/>
    </row>
    <row s="1666" customFormat="1" customHeight="1" ht="11.25">
      <c r="A142" s="982"/>
      <c r="B142" s="1661"/>
      <c r="C142" s="1661"/>
      <c r="D142" s="339"/>
      <c r="K142" s="1155"/>
      <c r="L142" s="1661"/>
      <c r="M142" s="1661"/>
      <c r="N142" s="1155"/>
      <c r="O142" s="1155"/>
      <c r="P142" s="1155"/>
      <c r="Q142" s="1155"/>
      <c r="R142" s="1661"/>
      <c r="S142" s="1155"/>
      <c r="T142" s="1155"/>
      <c r="U142" s="540"/>
      <c r="V142" s="1155"/>
      <c r="W142" s="1155"/>
      <c r="X142" s="1155"/>
      <c r="Y142" s="1155"/>
      <c r="Z142" s="1155"/>
      <c r="AA142" s="1657"/>
      <c r="AB142" s="562"/>
      <c r="AC142" s="562"/>
      <c r="AD142" s="562"/>
      <c r="AE142" s="562"/>
    </row>
    <row s="1666" customFormat="1" customHeight="1" ht="11.25">
      <c r="A143" s="982"/>
      <c r="B143" s="1661"/>
      <c r="C143" s="1661"/>
      <c r="D143" s="339"/>
      <c r="K143" s="1155"/>
      <c r="L143" s="1661"/>
      <c r="M143" s="1661"/>
      <c r="N143" s="1155"/>
      <c r="O143" s="1155"/>
      <c r="P143" s="1155"/>
      <c r="Q143" s="1155"/>
      <c r="R143" s="1661"/>
      <c r="S143" s="1155"/>
      <c r="T143" s="1155"/>
      <c r="U143" s="540"/>
      <c r="V143" s="1155"/>
      <c r="W143" s="1155"/>
      <c r="X143" s="1155"/>
      <c r="Y143" s="1155"/>
      <c r="Z143" s="1155"/>
      <c r="AA143" s="1657"/>
      <c r="AB143" s="562"/>
      <c r="AC143" s="562"/>
      <c r="AD143" s="562"/>
      <c r="AE143" s="562"/>
    </row>
    <row s="1666" customFormat="1" customHeight="1" ht="11.25">
      <c r="A144" s="982"/>
      <c r="B144" s="1661"/>
      <c r="C144" s="1661"/>
      <c r="D144" s="339"/>
      <c r="K144" s="1155"/>
      <c r="L144" s="1661"/>
      <c r="M144" s="1661"/>
      <c r="N144" s="1155"/>
      <c r="O144" s="1155"/>
      <c r="P144" s="1155"/>
      <c r="Q144" s="1155"/>
      <c r="R144" s="1661"/>
      <c r="S144" s="1155"/>
      <c r="T144" s="1155"/>
      <c r="U144" s="540"/>
      <c r="V144" s="1155"/>
      <c r="W144" s="1155"/>
      <c r="X144" s="1155"/>
      <c r="Y144" s="1155"/>
      <c r="Z144" s="1155"/>
      <c r="AA144" s="1657"/>
      <c r="AB144" s="562"/>
      <c r="AC144" s="562"/>
      <c r="AD144" s="562"/>
      <c r="AE144" s="562"/>
    </row>
    <row s="1666" customFormat="1" customHeight="1" ht="11.25">
      <c r="A145" s="982"/>
      <c r="B145" s="1661"/>
      <c r="C145" s="1661"/>
      <c r="D145" s="339"/>
      <c r="K145" s="1155"/>
      <c r="L145" s="1661"/>
      <c r="M145" s="1661"/>
      <c r="N145" s="1155"/>
      <c r="O145" s="1155"/>
      <c r="P145" s="1155"/>
      <c r="Q145" s="1155"/>
      <c r="R145" s="1661"/>
      <c r="S145" s="1155"/>
      <c r="T145" s="1155"/>
      <c r="U145" s="540"/>
      <c r="V145" s="1155"/>
      <c r="W145" s="1155"/>
      <c r="X145" s="1155"/>
      <c r="Y145" s="1155"/>
      <c r="Z145" s="1155"/>
      <c r="AA145" s="1657"/>
      <c r="AB145" s="562"/>
      <c r="AC145" s="562"/>
      <c r="AD145" s="562"/>
      <c r="AE145" s="562"/>
    </row>
    <row s="1666" customFormat="1" customHeight="1" ht="11.25">
      <c r="A146" s="982"/>
      <c r="B146" s="1661"/>
      <c r="C146" s="1661"/>
      <c r="D146" s="339"/>
      <c r="K146" s="1155"/>
      <c r="L146" s="1661"/>
      <c r="M146" s="1661"/>
      <c r="N146" s="1155"/>
      <c r="O146" s="1155"/>
      <c r="P146" s="1155"/>
      <c r="Q146" s="1155"/>
      <c r="R146" s="1661"/>
      <c r="S146" s="1155"/>
      <c r="T146" s="1155"/>
      <c r="U146" s="540"/>
      <c r="V146" s="1155"/>
      <c r="W146" s="1155"/>
      <c r="X146" s="1155"/>
      <c r="Y146" s="1155"/>
      <c r="Z146" s="1155"/>
      <c r="AA146" s="1657"/>
      <c r="AB146" s="562"/>
      <c r="AC146" s="562"/>
      <c r="AD146" s="562"/>
      <c r="AE146" s="562"/>
    </row>
    <row s="1666" customFormat="1" customHeight="1" ht="11.25">
      <c r="A147" s="982"/>
      <c r="B147" s="1661"/>
      <c r="C147" s="1661"/>
      <c r="D147" s="339"/>
      <c r="K147" s="1155"/>
      <c r="L147" s="1661"/>
      <c r="M147" s="1661"/>
      <c r="N147" s="1155"/>
      <c r="O147" s="1155"/>
      <c r="P147" s="1155"/>
      <c r="Q147" s="1155"/>
      <c r="R147" s="1661"/>
      <c r="S147" s="1155"/>
      <c r="T147" s="1155"/>
      <c r="U147" s="540"/>
      <c r="V147" s="1155"/>
      <c r="W147" s="1155"/>
      <c r="X147" s="1155"/>
      <c r="Y147" s="1155"/>
      <c r="Z147" s="1155"/>
      <c r="AA147" s="1657"/>
      <c r="AB147" s="562"/>
      <c r="AC147" s="562"/>
      <c r="AD147" s="562"/>
      <c r="AE147" s="562"/>
    </row>
    <row s="1666" customFormat="1" customHeight="1" ht="11.25">
      <c r="A148" s="982"/>
      <c r="B148" s="1661"/>
      <c r="C148" s="1661"/>
      <c r="D148" s="339"/>
      <c r="K148" s="1155"/>
      <c r="L148" s="1661"/>
      <c r="M148" s="1661"/>
      <c r="N148" s="1155"/>
      <c r="O148" s="1155"/>
      <c r="P148" s="1155"/>
      <c r="Q148" s="1155"/>
      <c r="R148" s="1661"/>
      <c r="S148" s="1155"/>
      <c r="T148" s="1155"/>
      <c r="U148" s="540"/>
      <c r="V148" s="1155"/>
      <c r="W148" s="1155"/>
      <c r="X148" s="1155"/>
      <c r="Y148" s="1155"/>
      <c r="Z148" s="1155"/>
      <c r="AA148" s="1657"/>
      <c r="AB148" s="562"/>
      <c r="AC148" s="562"/>
      <c r="AD148" s="562"/>
      <c r="AE148" s="562"/>
    </row>
    <row s="1666" customFormat="1" customHeight="1" ht="11.25">
      <c r="A149" s="982"/>
      <c r="B149" s="1661"/>
      <c r="C149" s="1661"/>
      <c r="D149" s="339"/>
      <c r="K149" s="1155"/>
      <c r="L149" s="1661"/>
      <c r="M149" s="1661"/>
      <c r="N149" s="1155"/>
      <c r="O149" s="1155"/>
      <c r="P149" s="1155"/>
      <c r="Q149" s="1155"/>
      <c r="R149" s="1661"/>
      <c r="S149" s="1155"/>
      <c r="T149" s="1155"/>
      <c r="U149" s="540"/>
      <c r="V149" s="1155"/>
      <c r="W149" s="1155"/>
      <c r="X149" s="1155"/>
      <c r="Y149" s="1155"/>
      <c r="Z149" s="1155"/>
      <c r="AA149" s="1657"/>
      <c r="AB149" s="562"/>
      <c r="AC149" s="562"/>
      <c r="AD149" s="562"/>
      <c r="AE149" s="562"/>
    </row>
    <row s="1666" customFormat="1" customHeight="1" ht="11.25">
      <c r="A150" s="982"/>
      <c r="B150" s="1661"/>
      <c r="C150" s="1661"/>
      <c r="D150" s="339"/>
      <c r="K150" s="1155"/>
      <c r="L150" s="1661"/>
      <c r="M150" s="1661"/>
      <c r="N150" s="1155"/>
      <c r="O150" s="1155"/>
      <c r="P150" s="1155"/>
      <c r="Q150" s="1155"/>
      <c r="R150" s="1661"/>
      <c r="S150" s="1155"/>
      <c r="T150" s="1155"/>
      <c r="U150" s="540"/>
      <c r="V150" s="1155"/>
      <c r="W150" s="1155"/>
      <c r="X150" s="1155"/>
      <c r="Y150" s="1155"/>
      <c r="Z150" s="1155"/>
      <c r="AA150" s="1657"/>
      <c r="AB150" s="562"/>
      <c r="AC150" s="562"/>
      <c r="AD150" s="562"/>
      <c r="AE150" s="562"/>
    </row>
    <row s="1666" customFormat="1" customHeight="1" ht="11.25">
      <c r="A151" s="982"/>
      <c r="B151" s="1661"/>
      <c r="C151" s="1661"/>
      <c r="D151" s="339"/>
      <c r="K151" s="1155"/>
      <c r="L151" s="1661"/>
      <c r="M151" s="1661"/>
      <c r="N151" s="1155"/>
      <c r="O151" s="1155"/>
      <c r="P151" s="1155"/>
      <c r="Q151" s="1155"/>
      <c r="R151" s="1661"/>
      <c r="S151" s="1155"/>
      <c r="T151" s="1155"/>
      <c r="U151" s="540"/>
      <c r="V151" s="1155"/>
      <c r="W151" s="1155"/>
      <c r="X151" s="1155"/>
      <c r="Y151" s="1155"/>
      <c r="Z151" s="1155"/>
      <c r="AA151" s="1657"/>
      <c r="AB151" s="562"/>
      <c r="AC151" s="562"/>
      <c r="AD151" s="562"/>
      <c r="AE151" s="562"/>
    </row>
    <row s="1666" customFormat="1" customHeight="1" ht="11.25">
      <c r="A152" s="982"/>
      <c r="B152" s="1661"/>
      <c r="C152" s="1661"/>
      <c r="D152" s="339"/>
      <c r="K152" s="1155"/>
      <c r="L152" s="1661"/>
      <c r="M152" s="1661"/>
      <c r="N152" s="1155"/>
      <c r="O152" s="1155"/>
      <c r="P152" s="1155"/>
      <c r="Q152" s="1155"/>
      <c r="R152" s="1661"/>
      <c r="S152" s="1155"/>
      <c r="T152" s="1155"/>
      <c r="U152" s="540"/>
      <c r="V152" s="1155"/>
      <c r="W152" s="1155"/>
      <c r="X152" s="1155"/>
      <c r="Y152" s="1155"/>
      <c r="Z152" s="1155"/>
      <c r="AA152" s="1657"/>
      <c r="AB152" s="562"/>
      <c r="AC152" s="562"/>
      <c r="AD152" s="562"/>
      <c r="AE152" s="562"/>
    </row>
    <row s="1666" customFormat="1" customHeight="1" ht="11.25">
      <c r="A153" s="982"/>
      <c r="B153" s="1661"/>
      <c r="C153" s="1661"/>
      <c r="D153" s="339"/>
      <c r="K153" s="1155"/>
      <c r="L153" s="1661"/>
      <c r="M153" s="1661"/>
      <c r="N153" s="1155"/>
      <c r="O153" s="1155"/>
      <c r="P153" s="1155"/>
      <c r="Q153" s="1155"/>
      <c r="R153" s="1661"/>
      <c r="S153" s="1155"/>
      <c r="T153" s="1155"/>
      <c r="U153" s="540"/>
      <c r="V153" s="1155"/>
      <c r="W153" s="1155"/>
      <c r="X153" s="1155"/>
      <c r="Y153" s="1155"/>
      <c r="Z153" s="1155"/>
      <c r="AA153" s="1657"/>
      <c r="AB153" s="562"/>
      <c r="AC153" s="562"/>
      <c r="AD153" s="562"/>
      <c r="AE153" s="562"/>
    </row>
    <row s="1666" customFormat="1" customHeight="1" ht="11.25">
      <c r="A154" s="982"/>
      <c r="B154" s="1661"/>
      <c r="C154" s="1661"/>
      <c r="D154" s="339"/>
      <c r="K154" s="1155"/>
      <c r="L154" s="1661"/>
      <c r="M154" s="1661"/>
      <c r="N154" s="1155"/>
      <c r="O154" s="1155"/>
      <c r="P154" s="1155"/>
      <c r="Q154" s="1155"/>
      <c r="R154" s="1661"/>
      <c r="S154" s="1155"/>
      <c r="T154" s="1155"/>
      <c r="U154" s="540"/>
      <c r="V154" s="1155"/>
      <c r="W154" s="1155"/>
      <c r="X154" s="1155"/>
      <c r="Y154" s="1155"/>
      <c r="Z154" s="1155"/>
      <c r="AA154" s="1657"/>
      <c r="AB154" s="562"/>
      <c r="AC154" s="562"/>
      <c r="AD154" s="562"/>
      <c r="AE154" s="562"/>
    </row>
    <row s="1666" customFormat="1" customHeight="1" ht="11.25">
      <c r="A155" s="982"/>
      <c r="B155" s="1661"/>
      <c r="C155" s="1661"/>
      <c r="D155" s="339"/>
      <c r="K155" s="1155"/>
      <c r="L155" s="1661"/>
      <c r="M155" s="1661"/>
      <c r="N155" s="1155"/>
      <c r="O155" s="1155"/>
      <c r="P155" s="1155"/>
      <c r="Q155" s="1155"/>
      <c r="R155" s="1661"/>
      <c r="S155" s="1155"/>
      <c r="T155" s="1155"/>
      <c r="U155" s="540"/>
      <c r="V155" s="1155"/>
      <c r="W155" s="1155"/>
      <c r="X155" s="1155"/>
      <c r="Y155" s="1155"/>
      <c r="Z155" s="1155"/>
      <c r="AA155" s="1657"/>
      <c r="AB155" s="562"/>
      <c r="AC155" s="562"/>
      <c r="AD155" s="562"/>
      <c r="AE155" s="562"/>
    </row>
    <row s="1666" customFormat="1" customHeight="1" ht="11.25">
      <c r="A156" s="982"/>
      <c r="B156" s="1661"/>
      <c r="C156" s="1661"/>
      <c r="D156" s="339"/>
      <c r="K156" s="1155"/>
      <c r="L156" s="1661"/>
      <c r="M156" s="1661"/>
      <c r="N156" s="1155"/>
      <c r="O156" s="1155"/>
      <c r="P156" s="1155"/>
      <c r="Q156" s="1155"/>
      <c r="R156" s="1661"/>
      <c r="S156" s="1155"/>
      <c r="T156" s="1155"/>
      <c r="U156" s="540"/>
      <c r="V156" s="1155"/>
      <c r="W156" s="1155"/>
      <c r="X156" s="1155"/>
      <c r="Y156" s="1155"/>
      <c r="Z156" s="1155"/>
      <c r="AA156" s="1657"/>
      <c r="AB156" s="562"/>
      <c r="AC156" s="562"/>
      <c r="AD156" s="562"/>
      <c r="AE156" s="562"/>
    </row>
    <row s="1666" customFormat="1" customHeight="1" ht="11.25">
      <c r="A157" s="982"/>
      <c r="B157" s="1661"/>
      <c r="C157" s="1661"/>
      <c r="D157" s="339"/>
      <c r="K157" s="1155"/>
      <c r="L157" s="1661"/>
      <c r="M157" s="1661"/>
      <c r="N157" s="1155"/>
      <c r="O157" s="1155"/>
      <c r="P157" s="1155"/>
      <c r="Q157" s="1155"/>
      <c r="R157" s="1661"/>
      <c r="S157" s="1155"/>
      <c r="T157" s="1155"/>
      <c r="U157" s="540"/>
      <c r="V157" s="1155"/>
      <c r="W157" s="1155"/>
      <c r="X157" s="1155"/>
      <c r="Y157" s="1155"/>
      <c r="Z157" s="1155"/>
      <c r="AA157" s="1657"/>
      <c r="AB157" s="562"/>
      <c r="AC157" s="562"/>
      <c r="AD157" s="562"/>
      <c r="AE157" s="562"/>
    </row>
    <row s="1666" customFormat="1" customHeight="1" ht="11.25">
      <c r="A158" s="982"/>
      <c r="B158" s="1661"/>
      <c r="C158" s="1661"/>
      <c r="D158" s="339"/>
      <c r="K158" s="1155"/>
      <c r="L158" s="1661"/>
      <c r="M158" s="1661"/>
      <c r="N158" s="1155"/>
      <c r="O158" s="1155"/>
      <c r="P158" s="1155"/>
      <c r="Q158" s="1155"/>
      <c r="R158" s="1661"/>
      <c r="S158" s="1155"/>
      <c r="T158" s="1155"/>
      <c r="U158" s="540"/>
      <c r="V158" s="1155"/>
      <c r="W158" s="1155"/>
      <c r="X158" s="1155"/>
      <c r="Y158" s="1155"/>
      <c r="Z158" s="1155"/>
      <c r="AA158" s="1657"/>
      <c r="AB158" s="562"/>
      <c r="AC158" s="562"/>
      <c r="AD158" s="562"/>
      <c r="AE158" s="562"/>
    </row>
    <row s="1666" customFormat="1" customHeight="1" ht="11.25">
      <c r="A159" s="982"/>
      <c r="B159" s="1661"/>
      <c r="C159" s="1661"/>
      <c r="D159" s="339"/>
      <c r="K159" s="1155"/>
      <c r="L159" s="1661"/>
      <c r="M159" s="1661"/>
      <c r="N159" s="1155"/>
      <c r="O159" s="1155"/>
      <c r="P159" s="1155"/>
      <c r="Q159" s="1155"/>
      <c r="R159" s="1661"/>
      <c r="S159" s="1155"/>
      <c r="T159" s="1155"/>
      <c r="U159" s="540"/>
      <c r="V159" s="1155"/>
      <c r="W159" s="1155"/>
      <c r="X159" s="1155"/>
      <c r="Y159" s="1155"/>
      <c r="Z159" s="1155"/>
      <c r="AA159" s="1657"/>
      <c r="AB159" s="562"/>
      <c r="AC159" s="562"/>
      <c r="AD159" s="562"/>
      <c r="AE159" s="562"/>
    </row>
    <row s="1666" customFormat="1" customHeight="1" ht="11.25">
      <c r="A160" s="982"/>
      <c r="B160" s="1661"/>
      <c r="C160" s="1661"/>
      <c r="D160" s="339"/>
      <c r="K160" s="1155"/>
      <c r="L160" s="1661"/>
      <c r="M160" s="1661"/>
      <c r="N160" s="1155"/>
      <c r="O160" s="1155"/>
      <c r="P160" s="1155"/>
      <c r="Q160" s="1155"/>
      <c r="R160" s="1661"/>
      <c r="S160" s="1155"/>
      <c r="T160" s="1155"/>
      <c r="U160" s="540"/>
      <c r="V160" s="1155"/>
      <c r="W160" s="1155"/>
      <c r="X160" s="1155"/>
      <c r="Y160" s="1155"/>
      <c r="Z160" s="1155"/>
      <c r="AA160" s="1657"/>
      <c r="AB160" s="562"/>
      <c r="AC160" s="562"/>
      <c r="AD160" s="562"/>
      <c r="AE160" s="562"/>
    </row>
    <row s="1666" customFormat="1" customHeight="1" ht="11.25">
      <c r="A161" s="982"/>
      <c r="B161" s="1661"/>
      <c r="C161" s="1661"/>
      <c r="D161" s="339"/>
      <c r="K161" s="1155"/>
      <c r="L161" s="1661"/>
      <c r="M161" s="1661"/>
      <c r="N161" s="1155"/>
      <c r="O161" s="1155"/>
      <c r="P161" s="1155"/>
      <c r="Q161" s="1155"/>
      <c r="R161" s="1661"/>
      <c r="S161" s="1155"/>
      <c r="T161" s="1155"/>
      <c r="U161" s="540"/>
      <c r="V161" s="1155"/>
      <c r="W161" s="1155"/>
      <c r="X161" s="1155"/>
      <c r="Y161" s="1155"/>
      <c r="Z161" s="1155"/>
      <c r="AA161" s="1657"/>
      <c r="AB161" s="562"/>
      <c r="AC161" s="562"/>
      <c r="AD161" s="562"/>
      <c r="AE161" s="562"/>
    </row>
    <row s="1666" customFormat="1" customHeight="1" ht="11.25">
      <c r="A162" s="982"/>
      <c r="B162" s="1661"/>
      <c r="C162" s="1661"/>
      <c r="D162" s="339"/>
      <c r="K162" s="1155"/>
      <c r="L162" s="1661"/>
      <c r="M162" s="1661"/>
      <c r="N162" s="1155"/>
      <c r="O162" s="1155"/>
      <c r="P162" s="1155"/>
      <c r="Q162" s="1155"/>
      <c r="R162" s="1661"/>
      <c r="S162" s="1155"/>
      <c r="T162" s="1155"/>
      <c r="U162" s="540"/>
      <c r="V162" s="1155"/>
      <c r="W162" s="1155"/>
      <c r="X162" s="1155"/>
      <c r="Y162" s="1155"/>
      <c r="Z162" s="1155"/>
      <c r="AA162" s="1657"/>
      <c r="AB162" s="562"/>
      <c r="AC162" s="562"/>
      <c r="AD162" s="562"/>
      <c r="AE162" s="562"/>
    </row>
    <row s="1666" customFormat="1" customHeight="1" ht="11.25">
      <c r="A163" s="982"/>
      <c r="B163" s="1661"/>
      <c r="C163" s="1661"/>
      <c r="D163" s="339"/>
      <c r="K163" s="1155"/>
      <c r="L163" s="1661"/>
      <c r="M163" s="1661"/>
      <c r="N163" s="1155"/>
      <c r="O163" s="1155"/>
      <c r="P163" s="1155"/>
      <c r="Q163" s="1155"/>
      <c r="R163" s="1661"/>
      <c r="S163" s="1155"/>
      <c r="T163" s="1155"/>
      <c r="U163" s="540"/>
      <c r="V163" s="1155"/>
      <c r="W163" s="1155"/>
      <c r="X163" s="1155"/>
      <c r="Y163" s="1155"/>
      <c r="Z163" s="1155"/>
      <c r="AA163" s="1657"/>
      <c r="AB163" s="562"/>
      <c r="AC163" s="562"/>
      <c r="AD163" s="562"/>
      <c r="AE163" s="562"/>
    </row>
    <row s="1666" customFormat="1" customHeight="1" ht="11.25">
      <c r="A164" s="982"/>
      <c r="B164" s="1661"/>
      <c r="C164" s="1661"/>
      <c r="D164" s="339"/>
      <c r="K164" s="1155"/>
      <c r="L164" s="1661"/>
      <c r="M164" s="1661"/>
      <c r="N164" s="1155"/>
      <c r="O164" s="1155"/>
      <c r="P164" s="1155"/>
      <c r="Q164" s="1155"/>
      <c r="R164" s="1661"/>
      <c r="S164" s="1155"/>
      <c r="T164" s="1155"/>
      <c r="U164" s="540"/>
      <c r="V164" s="1155"/>
      <c r="W164" s="1155"/>
      <c r="X164" s="1155"/>
      <c r="Y164" s="1155"/>
      <c r="Z164" s="1155"/>
      <c r="AA164" s="1657"/>
      <c r="AB164" s="562"/>
      <c r="AC164" s="562"/>
      <c r="AD164" s="562"/>
      <c r="AE164" s="562"/>
    </row>
    <row s="1666" customFormat="1" customHeight="1" ht="11.25">
      <c r="A165" s="982"/>
      <c r="B165" s="1661"/>
      <c r="C165" s="1661"/>
      <c r="D165" s="339"/>
      <c r="K165" s="1155"/>
      <c r="L165" s="1661"/>
      <c r="M165" s="1661"/>
      <c r="N165" s="1155"/>
      <c r="O165" s="1155"/>
      <c r="P165" s="1155"/>
      <c r="Q165" s="1155"/>
      <c r="R165" s="1661"/>
      <c r="S165" s="1155"/>
      <c r="T165" s="1155"/>
      <c r="U165" s="540"/>
      <c r="V165" s="1155"/>
      <c r="W165" s="1155"/>
      <c r="X165" s="1155"/>
      <c r="Y165" s="1155"/>
      <c r="Z165" s="1155"/>
      <c r="AA165" s="1657"/>
      <c r="AB165" s="562"/>
      <c r="AC165" s="562"/>
      <c r="AD165" s="562"/>
      <c r="AE165" s="562"/>
    </row>
    <row s="1666" customFormat="1" customHeight="1" ht="11.25">
      <c r="A166" s="982"/>
      <c r="B166" s="1661"/>
      <c r="C166" s="1661"/>
      <c r="D166" s="339"/>
      <c r="K166" s="1155"/>
      <c r="L166" s="1661"/>
      <c r="M166" s="1661"/>
      <c r="N166" s="1155"/>
      <c r="O166" s="1155"/>
      <c r="P166" s="1155"/>
      <c r="Q166" s="1155"/>
      <c r="R166" s="1661"/>
      <c r="S166" s="1155"/>
      <c r="T166" s="1155"/>
      <c r="U166" s="540"/>
      <c r="V166" s="1155"/>
      <c r="W166" s="1155"/>
      <c r="X166" s="1155"/>
      <c r="Y166" s="1155"/>
      <c r="Z166" s="1155"/>
      <c r="AA166" s="1657"/>
      <c r="AB166" s="562"/>
      <c r="AC166" s="562"/>
      <c r="AD166" s="562"/>
      <c r="AE166" s="562"/>
    </row>
    <row s="1666" customFormat="1" customHeight="1" ht="11.25">
      <c r="A167" s="982"/>
      <c r="B167" s="1661"/>
      <c r="C167" s="1661"/>
      <c r="D167" s="339"/>
      <c r="K167" s="1155"/>
      <c r="L167" s="1661"/>
      <c r="M167" s="1661"/>
      <c r="N167" s="1155"/>
      <c r="O167" s="1155"/>
      <c r="P167" s="1155"/>
      <c r="Q167" s="1155"/>
      <c r="R167" s="1661"/>
      <c r="S167" s="1155"/>
      <c r="T167" s="1155"/>
      <c r="U167" s="540"/>
      <c r="V167" s="1155"/>
      <c r="W167" s="1155"/>
      <c r="X167" s="1155"/>
      <c r="Y167" s="1155"/>
      <c r="Z167" s="1155"/>
      <c r="AA167" s="1657"/>
      <c r="AB167" s="562"/>
      <c r="AC167" s="562"/>
      <c r="AD167" s="562"/>
      <c r="AE167" s="562"/>
    </row>
    <row s="1666" customFormat="1" customHeight="1" ht="11.25">
      <c r="A168" s="982"/>
      <c r="B168" s="1661"/>
      <c r="C168" s="1661"/>
      <c r="D168" s="339"/>
      <c r="K168" s="1155"/>
      <c r="L168" s="1661"/>
      <c r="M168" s="1661"/>
      <c r="N168" s="1155"/>
      <c r="O168" s="1155"/>
      <c r="P168" s="1155"/>
      <c r="Q168" s="1155"/>
      <c r="R168" s="1661"/>
      <c r="S168" s="1155"/>
      <c r="T168" s="1155"/>
      <c r="U168" s="540"/>
      <c r="V168" s="1155"/>
      <c r="W168" s="1155"/>
      <c r="X168" s="1155"/>
      <c r="Y168" s="1155"/>
      <c r="Z168" s="1155"/>
      <c r="AA168" s="1657"/>
      <c r="AB168" s="562"/>
      <c r="AC168" s="562"/>
      <c r="AD168" s="562"/>
      <c r="AE168" s="562"/>
    </row>
    <row s="1666" customFormat="1" customHeight="1" ht="11.25">
      <c r="A169" s="982"/>
      <c r="B169" s="1661"/>
      <c r="C169" s="1661"/>
      <c r="D169" s="339"/>
      <c r="K169" s="1155"/>
      <c r="L169" s="1661"/>
      <c r="M169" s="1661"/>
      <c r="N169" s="1155"/>
      <c r="O169" s="1155"/>
      <c r="P169" s="1155"/>
      <c r="Q169" s="1155"/>
      <c r="R169" s="1661"/>
      <c r="S169" s="1155"/>
      <c r="T169" s="1155"/>
      <c r="U169" s="540"/>
      <c r="V169" s="1155"/>
      <c r="W169" s="1155"/>
      <c r="X169" s="1155"/>
      <c r="Y169" s="1155"/>
      <c r="Z169" s="1155"/>
      <c r="AA169" s="1657"/>
      <c r="AB169" s="562"/>
      <c r="AC169" s="562"/>
      <c r="AD169" s="562"/>
      <c r="AE169" s="562"/>
    </row>
    <row s="1666" customFormat="1" customHeight="1" ht="11.25">
      <c r="A170" s="982"/>
      <c r="B170" s="1661"/>
      <c r="C170" s="1661"/>
      <c r="D170" s="339"/>
      <c r="K170" s="1155"/>
      <c r="L170" s="1661"/>
      <c r="M170" s="1661"/>
      <c r="N170" s="1155"/>
      <c r="O170" s="1155"/>
      <c r="P170" s="1155"/>
      <c r="Q170" s="1155"/>
      <c r="R170" s="1661"/>
      <c r="S170" s="1155"/>
      <c r="T170" s="1155"/>
      <c r="U170" s="540"/>
      <c r="V170" s="1155"/>
      <c r="W170" s="1155"/>
      <c r="X170" s="1155"/>
      <c r="Y170" s="1155"/>
      <c r="Z170" s="1155"/>
      <c r="AA170" s="1657"/>
      <c r="AB170" s="562"/>
      <c r="AC170" s="562"/>
      <c r="AD170" s="562"/>
      <c r="AE170" s="562"/>
    </row>
    <row s="1666" customFormat="1" customHeight="1" ht="11.25">
      <c r="A171" s="982"/>
      <c r="B171" s="1661"/>
      <c r="C171" s="1661"/>
      <c r="D171" s="339"/>
      <c r="K171" s="1155"/>
      <c r="L171" s="1661"/>
      <c r="M171" s="1661"/>
      <c r="N171" s="1155"/>
      <c r="O171" s="1155"/>
      <c r="P171" s="1155"/>
      <c r="Q171" s="1155"/>
      <c r="R171" s="1661"/>
      <c r="S171" s="1155"/>
      <c r="T171" s="1155"/>
      <c r="U171" s="540"/>
      <c r="V171" s="1155"/>
      <c r="W171" s="1155"/>
      <c r="X171" s="1155"/>
      <c r="Y171" s="1155"/>
      <c r="Z171" s="1155"/>
      <c r="AA171" s="1657"/>
      <c r="AB171" s="562"/>
      <c r="AC171" s="562"/>
      <c r="AD171" s="562"/>
      <c r="AE171" s="562"/>
    </row>
    <row s="1666" customFormat="1" customHeight="1" ht="11.25">
      <c r="A172" s="982"/>
      <c r="B172" s="1661"/>
      <c r="C172" s="1661"/>
      <c r="D172" s="339"/>
      <c r="K172" s="1155"/>
      <c r="L172" s="1661"/>
      <c r="M172" s="1661"/>
      <c r="N172" s="1155"/>
      <c r="O172" s="1155"/>
      <c r="P172" s="1155"/>
      <c r="Q172" s="1155"/>
      <c r="R172" s="1661"/>
      <c r="S172" s="1155"/>
      <c r="T172" s="1155"/>
      <c r="U172" s="540"/>
      <c r="V172" s="1155"/>
      <c r="W172" s="1155"/>
      <c r="X172" s="1155"/>
      <c r="Y172" s="1155"/>
      <c r="Z172" s="1155"/>
      <c r="AA172" s="1657"/>
      <c r="AB172" s="562"/>
      <c r="AC172" s="562"/>
      <c r="AD172" s="562"/>
      <c r="AE172" s="562"/>
    </row>
    <row s="1666" customFormat="1" customHeight="1" ht="11.25">
      <c r="A173" s="982"/>
      <c r="B173" s="1661"/>
      <c r="C173" s="1661"/>
      <c r="D173" s="339"/>
      <c r="K173" s="1155"/>
      <c r="L173" s="1661"/>
      <c r="M173" s="1661"/>
      <c r="N173" s="1155"/>
      <c r="O173" s="1155"/>
      <c r="P173" s="1155"/>
      <c r="Q173" s="1155"/>
      <c r="R173" s="1661"/>
      <c r="S173" s="1155"/>
      <c r="T173" s="1155"/>
      <c r="U173" s="540"/>
      <c r="V173" s="1155"/>
      <c r="W173" s="1155"/>
      <c r="X173" s="1155"/>
      <c r="Y173" s="1155"/>
      <c r="Z173" s="1155"/>
      <c r="AA173" s="1657"/>
      <c r="AB173" s="562"/>
      <c r="AC173" s="562"/>
      <c r="AD173" s="562"/>
      <c r="AE173" s="562"/>
    </row>
    <row s="1666" customFormat="1" customHeight="1" ht="11.25">
      <c r="A174" s="982"/>
      <c r="B174" s="1661"/>
      <c r="C174" s="1661"/>
      <c r="D174" s="339"/>
      <c r="K174" s="1155"/>
      <c r="L174" s="1661"/>
      <c r="M174" s="1661"/>
      <c r="N174" s="1155"/>
      <c r="O174" s="1155"/>
      <c r="P174" s="1155"/>
      <c r="Q174" s="1155"/>
      <c r="R174" s="1661"/>
      <c r="S174" s="1155"/>
      <c r="T174" s="1155"/>
      <c r="U174" s="540"/>
      <c r="V174" s="1155"/>
      <c r="W174" s="1155"/>
      <c r="X174" s="1155"/>
      <c r="Y174" s="1155"/>
      <c r="Z174" s="1155"/>
      <c r="AA174" s="1657"/>
      <c r="AB174" s="562"/>
      <c r="AC174" s="562"/>
      <c r="AD174" s="562"/>
      <c r="AE174" s="562"/>
    </row>
    <row s="1666" customFormat="1" customHeight="1" ht="11.25">
      <c r="A175" s="982"/>
      <c r="B175" s="1661"/>
      <c r="C175" s="1661"/>
      <c r="D175" s="339"/>
      <c r="K175" s="1155"/>
      <c r="L175" s="1661"/>
      <c r="M175" s="1661"/>
      <c r="N175" s="1155"/>
      <c r="O175" s="1155"/>
      <c r="P175" s="1155"/>
      <c r="Q175" s="1155"/>
      <c r="R175" s="1661"/>
      <c r="S175" s="1155"/>
      <c r="T175" s="1155"/>
      <c r="U175" s="540"/>
      <c r="V175" s="1155"/>
      <c r="W175" s="1155"/>
      <c r="X175" s="1155"/>
      <c r="Y175" s="1155"/>
      <c r="Z175" s="1155"/>
      <c r="AA175" s="1657"/>
      <c r="AB175" s="562"/>
      <c r="AC175" s="562"/>
      <c r="AD175" s="562"/>
      <c r="AE175" s="562"/>
    </row>
    <row s="1666" customFormat="1" customHeight="1" ht="11.25">
      <c r="A176" s="982"/>
      <c r="B176" s="1661"/>
      <c r="C176" s="1661"/>
      <c r="D176" s="339"/>
      <c r="K176" s="1155"/>
      <c r="L176" s="1661"/>
      <c r="M176" s="1661"/>
      <c r="N176" s="1155"/>
      <c r="O176" s="1155"/>
      <c r="P176" s="1155"/>
      <c r="Q176" s="1155"/>
      <c r="R176" s="1661"/>
      <c r="S176" s="1155"/>
      <c r="T176" s="1155"/>
      <c r="U176" s="540"/>
      <c r="V176" s="1155"/>
      <c r="W176" s="1155"/>
      <c r="X176" s="1155"/>
      <c r="Y176" s="1155"/>
      <c r="Z176" s="1155"/>
      <c r="AA176" s="1657"/>
      <c r="AB176" s="562"/>
      <c r="AC176" s="562"/>
      <c r="AD176" s="562"/>
      <c r="AE176" s="562"/>
    </row>
    <row s="1666" customFormat="1" customHeight="1" ht="11.25">
      <c r="A177" s="982"/>
      <c r="B177" s="1661"/>
      <c r="C177" s="1661"/>
      <c r="D177" s="339"/>
      <c r="K177" s="1155"/>
      <c r="L177" s="1661"/>
      <c r="M177" s="1661"/>
      <c r="N177" s="1155"/>
      <c r="O177" s="1155"/>
      <c r="P177" s="1155"/>
      <c r="Q177" s="1155"/>
      <c r="R177" s="1661"/>
      <c r="S177" s="1155"/>
      <c r="T177" s="1155"/>
      <c r="U177" s="540"/>
      <c r="V177" s="1155"/>
      <c r="W177" s="1155"/>
      <c r="X177" s="1155"/>
      <c r="Y177" s="1155"/>
      <c r="Z177" s="1155"/>
      <c r="AA177" s="1657"/>
      <c r="AB177" s="562"/>
      <c r="AC177" s="562"/>
      <c r="AD177" s="562"/>
      <c r="AE177" s="562"/>
    </row>
    <row s="1666" customFormat="1" customHeight="1" ht="11.25">
      <c r="A178" s="982"/>
      <c r="B178" s="1661"/>
      <c r="C178" s="1661"/>
      <c r="D178" s="339"/>
      <c r="K178" s="1155"/>
      <c r="L178" s="1661"/>
      <c r="M178" s="1661"/>
      <c r="N178" s="1155"/>
      <c r="O178" s="1155"/>
      <c r="P178" s="1155"/>
      <c r="Q178" s="1155"/>
      <c r="R178" s="1661"/>
      <c r="S178" s="1155"/>
      <c r="T178" s="1155"/>
      <c r="U178" s="540"/>
      <c r="V178" s="1155"/>
      <c r="W178" s="1155"/>
      <c r="X178" s="1155"/>
      <c r="Y178" s="1155"/>
      <c r="Z178" s="1155"/>
      <c r="AA178" s="1657"/>
      <c r="AB178" s="562"/>
      <c r="AC178" s="562"/>
      <c r="AD178" s="562"/>
      <c r="AE178" s="562"/>
    </row>
    <row s="1666" customFormat="1" customHeight="1" ht="11.25">
      <c r="A179" s="982"/>
      <c r="B179" s="1661"/>
      <c r="C179" s="1661"/>
      <c r="D179" s="339"/>
      <c r="K179" s="1155"/>
      <c r="L179" s="1661"/>
      <c r="M179" s="1661"/>
      <c r="N179" s="1155"/>
      <c r="O179" s="1155"/>
      <c r="P179" s="1155"/>
      <c r="Q179" s="1155"/>
      <c r="R179" s="1661"/>
      <c r="S179" s="1155"/>
      <c r="T179" s="1155"/>
      <c r="U179" s="540"/>
      <c r="V179" s="1155"/>
      <c r="W179" s="1155"/>
      <c r="X179" s="1155"/>
      <c r="Y179" s="1155"/>
      <c r="Z179" s="1155"/>
      <c r="AA179" s="1657"/>
      <c r="AB179" s="562"/>
      <c r="AC179" s="562"/>
      <c r="AD179" s="562"/>
      <c r="AE179" s="562"/>
    </row>
    <row s="1666" customFormat="1" customHeight="1" ht="11.25">
      <c r="A180" s="982"/>
      <c r="B180" s="1661"/>
      <c r="C180" s="1661"/>
      <c r="D180" s="339"/>
      <c r="K180" s="1155"/>
      <c r="L180" s="1661"/>
      <c r="M180" s="1661"/>
      <c r="N180" s="1155"/>
      <c r="O180" s="1155"/>
      <c r="P180" s="1155"/>
      <c r="Q180" s="1155"/>
      <c r="R180" s="1661"/>
      <c r="S180" s="1155"/>
      <c r="T180" s="1155"/>
      <c r="U180" s="540"/>
      <c r="V180" s="1155"/>
      <c r="W180" s="1155"/>
      <c r="X180" s="1155"/>
      <c r="Y180" s="1155"/>
      <c r="Z180" s="1155"/>
      <c r="AA180" s="1657"/>
      <c r="AB180" s="562"/>
      <c r="AC180" s="562"/>
      <c r="AD180" s="562"/>
      <c r="AE180" s="562"/>
    </row>
    <row s="1666" customFormat="1" customHeight="1" ht="11.25">
      <c r="A181" s="982"/>
      <c r="B181" s="1661"/>
      <c r="C181" s="1661"/>
      <c r="D181" s="339"/>
      <c r="K181" s="1155"/>
      <c r="L181" s="1661"/>
      <c r="M181" s="1661"/>
      <c r="N181" s="1155"/>
      <c r="O181" s="1155"/>
      <c r="P181" s="1155"/>
      <c r="Q181" s="1155"/>
      <c r="R181" s="1661"/>
      <c r="S181" s="1155"/>
      <c r="T181" s="1155"/>
      <c r="U181" s="540"/>
      <c r="V181" s="1155"/>
      <c r="W181" s="1155"/>
      <c r="X181" s="1155"/>
      <c r="Y181" s="1155"/>
      <c r="Z181" s="1155"/>
      <c r="AA181" s="1657"/>
      <c r="AB181" s="562"/>
      <c r="AC181" s="562"/>
      <c r="AD181" s="562"/>
      <c r="AE181" s="562"/>
    </row>
    <row s="1666" customFormat="1" customHeight="1" ht="11.25">
      <c r="A182" s="982"/>
      <c r="B182" s="1661"/>
      <c r="C182" s="1661"/>
      <c r="D182" s="339"/>
      <c r="K182" s="1155"/>
      <c r="L182" s="1661"/>
      <c r="M182" s="1661"/>
      <c r="N182" s="1155"/>
      <c r="O182" s="1155"/>
      <c r="P182" s="1155"/>
      <c r="Q182" s="1155"/>
      <c r="R182" s="1661"/>
      <c r="S182" s="1155"/>
      <c r="T182" s="1155"/>
      <c r="U182" s="540"/>
      <c r="V182" s="1155"/>
      <c r="W182" s="1155"/>
      <c r="X182" s="1155"/>
      <c r="Y182" s="1155"/>
      <c r="Z182" s="1155"/>
      <c r="AA182" s="1657"/>
      <c r="AB182" s="562"/>
      <c r="AC182" s="562"/>
      <c r="AD182" s="562"/>
      <c r="AE182" s="562"/>
    </row>
    <row s="1666" customFormat="1" customHeight="1" ht="11.25">
      <c r="A183" s="982"/>
      <c r="B183" s="1661"/>
      <c r="C183" s="1661"/>
      <c r="D183" s="339"/>
      <c r="K183" s="1155"/>
      <c r="L183" s="1661"/>
      <c r="M183" s="1661"/>
      <c r="N183" s="1155"/>
      <c r="O183" s="1155"/>
      <c r="P183" s="1155"/>
      <c r="Q183" s="1155"/>
      <c r="R183" s="1661"/>
      <c r="S183" s="1155"/>
      <c r="T183" s="1155"/>
      <c r="U183" s="540"/>
      <c r="V183" s="1155"/>
      <c r="W183" s="1155"/>
      <c r="X183" s="1155"/>
      <c r="Y183" s="1155"/>
      <c r="Z183" s="1155"/>
      <c r="AA183" s="1657"/>
      <c r="AB183" s="562"/>
      <c r="AC183" s="562"/>
      <c r="AD183" s="562"/>
      <c r="AE183" s="562"/>
    </row>
    <row s="1666" customFormat="1" customHeight="1" ht="11.25">
      <c r="A184" s="982"/>
      <c r="B184" s="1661"/>
      <c r="C184" s="1661"/>
      <c r="D184" s="339"/>
      <c r="K184" s="1155"/>
      <c r="L184" s="1661"/>
      <c r="M184" s="1661"/>
      <c r="N184" s="1155"/>
      <c r="O184" s="1155"/>
      <c r="P184" s="1155"/>
      <c r="Q184" s="1155"/>
      <c r="R184" s="1661"/>
      <c r="S184" s="1155"/>
      <c r="T184" s="1155"/>
      <c r="U184" s="540"/>
      <c r="V184" s="1155"/>
      <c r="W184" s="1155"/>
      <c r="X184" s="1155"/>
      <c r="Y184" s="1155"/>
      <c r="Z184" s="1155"/>
      <c r="AA184" s="1657"/>
      <c r="AB184" s="562"/>
      <c r="AC184" s="562"/>
      <c r="AD184" s="562"/>
      <c r="AE184" s="562"/>
    </row>
    <row s="1666" customFormat="1" customHeight="1" ht="11.25">
      <c r="A185" s="982"/>
      <c r="B185" s="1661"/>
      <c r="C185" s="1661"/>
      <c r="D185" s="339"/>
      <c r="K185" s="1155"/>
      <c r="L185" s="1661"/>
      <c r="M185" s="1661"/>
      <c r="N185" s="1155"/>
      <c r="O185" s="1155"/>
      <c r="P185" s="1155"/>
      <c r="Q185" s="1155"/>
      <c r="R185" s="1661"/>
      <c r="S185" s="1155"/>
      <c r="T185" s="1155"/>
      <c r="U185" s="540"/>
      <c r="V185" s="1155"/>
      <c r="W185" s="1155"/>
      <c r="X185" s="1155"/>
      <c r="Y185" s="1155"/>
      <c r="Z185" s="1155"/>
      <c r="AA185" s="1657"/>
      <c r="AB185" s="562"/>
      <c r="AC185" s="562"/>
      <c r="AD185" s="562"/>
      <c r="AE185" s="562"/>
    </row>
    <row s="1666" customFormat="1" customHeight="1" ht="11.25">
      <c r="A186" s="982"/>
      <c r="B186" s="1661"/>
      <c r="C186" s="1661"/>
      <c r="D186" s="339"/>
      <c r="K186" s="1155"/>
      <c r="L186" s="1661"/>
      <c r="M186" s="1661"/>
      <c r="N186" s="1155"/>
      <c r="O186" s="1155"/>
      <c r="P186" s="1155"/>
      <c r="Q186" s="1155"/>
      <c r="R186" s="1661"/>
      <c r="S186" s="1155"/>
      <c r="T186" s="1155"/>
      <c r="U186" s="540"/>
      <c r="V186" s="1155"/>
      <c r="W186" s="1155"/>
      <c r="X186" s="1155"/>
      <c r="Y186" s="1155"/>
      <c r="Z186" s="1155"/>
      <c r="AA186" s="1657"/>
      <c r="AB186" s="562"/>
      <c r="AC186" s="562"/>
      <c r="AD186" s="562"/>
      <c r="AE186" s="562"/>
    </row>
    <row s="1666" customFormat="1" customHeight="1" ht="11.25">
      <c r="A187" s="982"/>
      <c r="B187" s="1661"/>
      <c r="C187" s="1661"/>
      <c r="D187" s="339"/>
      <c r="K187" s="1155"/>
      <c r="L187" s="1661"/>
      <c r="M187" s="1661"/>
      <c r="N187" s="1155"/>
      <c r="O187" s="1155"/>
      <c r="P187" s="1155"/>
      <c r="Q187" s="1155"/>
      <c r="R187" s="1661"/>
      <c r="S187" s="1155"/>
      <c r="T187" s="1155"/>
      <c r="U187" s="540"/>
      <c r="V187" s="1155"/>
      <c r="W187" s="1155"/>
      <c r="X187" s="1155"/>
      <c r="Y187" s="1155"/>
      <c r="Z187" s="1155"/>
      <c r="AA187" s="1657"/>
      <c r="AB187" s="562"/>
      <c r="AC187" s="562"/>
      <c r="AD187" s="562"/>
      <c r="AE187" s="562"/>
    </row>
    <row s="1666" customFormat="1" customHeight="1" ht="11.25">
      <c r="A188" s="982"/>
      <c r="B188" s="1661"/>
      <c r="C188" s="1661"/>
      <c r="D188" s="339"/>
      <c r="K188" s="1155"/>
      <c r="L188" s="1661"/>
      <c r="M188" s="1661"/>
      <c r="N188" s="1155"/>
      <c r="O188" s="1155"/>
      <c r="P188" s="1155"/>
      <c r="Q188" s="1155"/>
      <c r="R188" s="1661"/>
      <c r="S188" s="1155"/>
      <c r="T188" s="1155"/>
      <c r="U188" s="540"/>
      <c r="V188" s="1155"/>
      <c r="W188" s="1155"/>
      <c r="X188" s="1155"/>
      <c r="Y188" s="1155"/>
      <c r="Z188" s="1155"/>
      <c r="AA188" s="1657"/>
      <c r="AB188" s="562"/>
      <c r="AC188" s="562"/>
      <c r="AD188" s="562"/>
      <c r="AE188" s="562"/>
    </row>
    <row s="1666" customFormat="1" customHeight="1" ht="11.25">
      <c r="A189" s="982"/>
      <c r="B189" s="1661"/>
      <c r="C189" s="1661"/>
      <c r="D189" s="339"/>
      <c r="K189" s="1155"/>
      <c r="L189" s="1661"/>
      <c r="M189" s="1661"/>
      <c r="N189" s="1155"/>
      <c r="O189" s="1155"/>
      <c r="P189" s="1155"/>
      <c r="Q189" s="1155"/>
      <c r="R189" s="1661"/>
      <c r="S189" s="1155"/>
      <c r="T189" s="1155"/>
      <c r="U189" s="540"/>
      <c r="V189" s="1155"/>
      <c r="W189" s="1155"/>
      <c r="X189" s="1155"/>
      <c r="Y189" s="1155"/>
      <c r="Z189" s="1155"/>
      <c r="AA189" s="1657"/>
      <c r="AB189" s="562"/>
      <c r="AC189" s="562"/>
      <c r="AD189" s="562"/>
      <c r="AE189" s="562"/>
    </row>
    <row s="1666" customFormat="1" customHeight="1" ht="11.25">
      <c r="A190" s="982"/>
      <c r="B190" s="1661"/>
      <c r="C190" s="1661"/>
      <c r="D190" s="339"/>
      <c r="K190" s="1155"/>
      <c r="L190" s="1661"/>
      <c r="M190" s="1661"/>
      <c r="N190" s="1155"/>
      <c r="O190" s="1155"/>
      <c r="P190" s="1155"/>
      <c r="Q190" s="1155"/>
      <c r="R190" s="1661"/>
      <c r="S190" s="1155"/>
      <c r="T190" s="1155"/>
      <c r="U190" s="540"/>
      <c r="V190" s="1155"/>
      <c r="W190" s="1155"/>
      <c r="X190" s="1155"/>
      <c r="Y190" s="1155"/>
      <c r="Z190" s="1155"/>
      <c r="AA190" s="1657"/>
      <c r="AB190" s="562"/>
      <c r="AC190" s="562"/>
      <c r="AD190" s="562"/>
      <c r="AE190" s="562"/>
    </row>
    <row s="1666" customFormat="1" customHeight="1" ht="11.25">
      <c r="A191" s="982"/>
      <c r="B191" s="1661"/>
      <c r="C191" s="1661"/>
      <c r="D191" s="339"/>
      <c r="K191" s="1155"/>
      <c r="L191" s="1661"/>
      <c r="M191" s="1661"/>
      <c r="N191" s="1155"/>
      <c r="O191" s="1155"/>
      <c r="P191" s="1155"/>
      <c r="Q191" s="1155"/>
      <c r="R191" s="1661"/>
      <c r="S191" s="1155"/>
      <c r="T191" s="1155"/>
      <c r="U191" s="540"/>
      <c r="V191" s="1155"/>
      <c r="W191" s="1155"/>
      <c r="X191" s="1155"/>
      <c r="Y191" s="1155"/>
      <c r="Z191" s="1155"/>
      <c r="AA191" s="1657"/>
      <c r="AB191" s="562"/>
      <c r="AC191" s="562"/>
      <c r="AD191" s="562"/>
      <c r="AE191" s="562"/>
    </row>
    <row s="1666" customFormat="1" customHeight="1" ht="11.25">
      <c r="A192" s="982"/>
      <c r="B192" s="1661"/>
      <c r="C192" s="1661"/>
      <c r="D192" s="339"/>
      <c r="K192" s="1155"/>
      <c r="L192" s="1661"/>
      <c r="M192" s="1661"/>
      <c r="N192" s="1155"/>
      <c r="O192" s="1155"/>
      <c r="P192" s="1155"/>
      <c r="Q192" s="1155"/>
      <c r="R192" s="1661"/>
      <c r="S192" s="1155"/>
      <c r="T192" s="1155"/>
      <c r="U192" s="540"/>
      <c r="V192" s="1155"/>
      <c r="W192" s="1155"/>
      <c r="X192" s="1155"/>
      <c r="Y192" s="1155"/>
      <c r="Z192" s="1155"/>
      <c r="AA192" s="1657"/>
      <c r="AB192" s="562"/>
      <c r="AC192" s="562"/>
      <c r="AD192" s="562"/>
      <c r="AE192" s="562"/>
    </row>
    <row s="1666" customFormat="1" customHeight="1" ht="11.25">
      <c r="A193" s="982"/>
      <c r="B193" s="1661"/>
      <c r="C193" s="1661"/>
      <c r="D193" s="339"/>
      <c r="K193" s="1155"/>
      <c r="L193" s="1661"/>
      <c r="M193" s="1661"/>
      <c r="N193" s="1155"/>
      <c r="O193" s="1155"/>
      <c r="P193" s="1155"/>
      <c r="Q193" s="1155"/>
      <c r="R193" s="1661"/>
      <c r="S193" s="1155"/>
      <c r="T193" s="1155"/>
      <c r="U193" s="540"/>
      <c r="V193" s="1155"/>
      <c r="W193" s="1155"/>
      <c r="X193" s="1155"/>
      <c r="Y193" s="1155"/>
      <c r="Z193" s="1155"/>
      <c r="AA193" s="1657"/>
      <c r="AB193" s="562"/>
      <c r="AC193" s="562"/>
      <c r="AD193" s="562"/>
      <c r="AE193" s="562"/>
    </row>
    <row s="1666" customFormat="1" customHeight="1" ht="11.25">
      <c r="A194" s="982"/>
      <c r="B194" s="1661"/>
      <c r="C194" s="1661"/>
      <c r="D194" s="339"/>
      <c r="K194" s="1155"/>
      <c r="L194" s="1661"/>
      <c r="M194" s="1661"/>
      <c r="N194" s="1155"/>
      <c r="O194" s="1155"/>
      <c r="P194" s="1155"/>
      <c r="Q194" s="1155"/>
      <c r="R194" s="1661"/>
      <c r="S194" s="1155"/>
      <c r="T194" s="1155"/>
      <c r="U194" s="540"/>
      <c r="V194" s="1155"/>
      <c r="W194" s="1155"/>
      <c r="X194" s="1155"/>
      <c r="Y194" s="1155"/>
      <c r="Z194" s="1155"/>
      <c r="AA194" s="1657"/>
      <c r="AB194" s="562"/>
      <c r="AC194" s="562"/>
      <c r="AD194" s="562"/>
      <c r="AE194" s="562"/>
    </row>
    <row s="1666" customFormat="1" customHeight="1" ht="11.25">
      <c r="A195" s="982"/>
      <c r="B195" s="1661"/>
      <c r="C195" s="1661"/>
      <c r="D195" s="339"/>
      <c r="K195" s="1155"/>
      <c r="L195" s="1661"/>
      <c r="M195" s="1661"/>
      <c r="N195" s="1155"/>
      <c r="O195" s="1155"/>
      <c r="P195" s="1155"/>
      <c r="Q195" s="1155"/>
      <c r="R195" s="1661"/>
      <c r="S195" s="1155"/>
      <c r="T195" s="1155"/>
      <c r="U195" s="540"/>
      <c r="V195" s="1155"/>
      <c r="W195" s="1155"/>
      <c r="X195" s="1155"/>
      <c r="Y195" s="1155"/>
      <c r="Z195" s="1155"/>
      <c r="AA195" s="1657"/>
      <c r="AB195" s="562"/>
      <c r="AC195" s="562"/>
      <c r="AD195" s="562"/>
      <c r="AE195" s="562"/>
    </row>
    <row s="1666" customFormat="1" customHeight="1" ht="11.25">
      <c r="A196" s="982"/>
      <c r="B196" s="1661"/>
      <c r="C196" s="1661"/>
      <c r="D196" s="339"/>
      <c r="K196" s="1155"/>
      <c r="L196" s="1661"/>
      <c r="M196" s="1661"/>
      <c r="N196" s="1155"/>
      <c r="O196" s="1155"/>
      <c r="P196" s="1155"/>
      <c r="Q196" s="1155"/>
      <c r="R196" s="1661"/>
      <c r="S196" s="1155"/>
      <c r="T196" s="1155"/>
      <c r="U196" s="540"/>
      <c r="V196" s="1155"/>
      <c r="W196" s="1155"/>
      <c r="X196" s="1155"/>
      <c r="Y196" s="1155"/>
      <c r="Z196" s="1155"/>
      <c r="AA196" s="1657"/>
      <c r="AB196" s="562"/>
      <c r="AC196" s="562"/>
      <c r="AD196" s="562"/>
      <c r="AE196" s="562"/>
    </row>
    <row s="1666" customFormat="1" customHeight="1" ht="11.25">
      <c r="A197" s="982"/>
      <c r="B197" s="1661"/>
      <c r="C197" s="1661"/>
      <c r="D197" s="339"/>
      <c r="K197" s="1155"/>
      <c r="L197" s="1661"/>
      <c r="M197" s="1661"/>
      <c r="N197" s="1155"/>
      <c r="O197" s="1155"/>
      <c r="P197" s="1155"/>
      <c r="Q197" s="1155"/>
      <c r="R197" s="1661"/>
      <c r="S197" s="1155"/>
      <c r="T197" s="1155"/>
      <c r="U197" s="540"/>
      <c r="V197" s="1155"/>
      <c r="W197" s="1155"/>
      <c r="X197" s="1155"/>
      <c r="Y197" s="1155"/>
      <c r="Z197" s="1155"/>
      <c r="AA197" s="1657"/>
      <c r="AB197" s="562"/>
      <c r="AC197" s="562"/>
      <c r="AD197" s="562"/>
      <c r="AE197" s="562"/>
    </row>
    <row s="1666" customFormat="1" customHeight="1" ht="11.25">
      <c r="A198" s="982"/>
      <c r="B198" s="1661"/>
      <c r="C198" s="1661"/>
      <c r="D198" s="339"/>
      <c r="K198" s="1155"/>
      <c r="L198" s="1661"/>
      <c r="M198" s="1661"/>
      <c r="N198" s="1155"/>
      <c r="O198" s="1155"/>
      <c r="P198" s="1155"/>
      <c r="Q198" s="1155"/>
      <c r="R198" s="1661"/>
      <c r="S198" s="1155"/>
      <c r="T198" s="1155"/>
      <c r="U198" s="540"/>
      <c r="V198" s="1155"/>
      <c r="W198" s="1155"/>
      <c r="X198" s="1155"/>
      <c r="Y198" s="1155"/>
      <c r="Z198" s="1155"/>
      <c r="AA198" s="1657"/>
      <c r="AB198" s="562"/>
      <c r="AC198" s="562"/>
      <c r="AD198" s="562"/>
      <c r="AE198" s="562"/>
    </row>
    <row s="1666" customFormat="1" customHeight="1" ht="11.25">
      <c r="A199" s="982"/>
      <c r="B199" s="1661"/>
      <c r="C199" s="1661"/>
      <c r="D199" s="339"/>
      <c r="K199" s="1155"/>
      <c r="L199" s="1661"/>
      <c r="M199" s="1661"/>
      <c r="N199" s="1155"/>
      <c r="O199" s="1155"/>
      <c r="P199" s="1155"/>
      <c r="Q199" s="1155"/>
      <c r="R199" s="1661"/>
      <c r="S199" s="1155"/>
      <c r="T199" s="1155"/>
      <c r="U199" s="540"/>
      <c r="V199" s="1155"/>
      <c r="W199" s="1155"/>
      <c r="X199" s="1155"/>
      <c r="Y199" s="1155"/>
      <c r="Z199" s="1155"/>
      <c r="AA199" s="1657"/>
      <c r="AB199" s="562"/>
      <c r="AC199" s="562"/>
      <c r="AD199" s="562"/>
      <c r="AE199" s="562"/>
    </row>
    <row s="1666" customFormat="1" customHeight="1" ht="11.25">
      <c r="A200" s="982"/>
      <c r="B200" s="1661"/>
      <c r="C200" s="1661"/>
      <c r="D200" s="339"/>
      <c r="K200" s="1155"/>
      <c r="L200" s="1661"/>
      <c r="M200" s="1661"/>
      <c r="N200" s="1155"/>
      <c r="O200" s="1155"/>
      <c r="P200" s="1155"/>
      <c r="Q200" s="1155"/>
      <c r="R200" s="1661"/>
      <c r="S200" s="1155"/>
      <c r="T200" s="1155"/>
      <c r="U200" s="540"/>
      <c r="V200" s="1155"/>
      <c r="W200" s="1155"/>
      <c r="X200" s="1155"/>
      <c r="Y200" s="1155"/>
      <c r="Z200" s="1155"/>
      <c r="AA200" s="1657"/>
      <c r="AB200" s="562"/>
      <c r="AC200" s="562"/>
      <c r="AD200" s="562"/>
      <c r="AE200" s="562"/>
    </row>
    <row s="1666" customFormat="1" customHeight="1" ht="11.25">
      <c r="A201" s="982"/>
      <c r="B201" s="1661"/>
      <c r="C201" s="1661"/>
      <c r="D201" s="339"/>
      <c r="K201" s="1155"/>
      <c r="L201" s="1661"/>
      <c r="M201" s="1661"/>
      <c r="N201" s="1155"/>
      <c r="O201" s="1155"/>
      <c r="P201" s="1155"/>
      <c r="Q201" s="1155"/>
      <c r="R201" s="1661"/>
      <c r="S201" s="1155"/>
      <c r="T201" s="1155"/>
      <c r="U201" s="540"/>
      <c r="V201" s="1155"/>
      <c r="W201" s="1155"/>
      <c r="X201" s="1155"/>
      <c r="Y201" s="1155"/>
      <c r="Z201" s="1155"/>
      <c r="AA201" s="1657"/>
      <c r="AB201" s="562"/>
      <c r="AC201" s="562"/>
      <c r="AD201" s="562"/>
      <c r="AE201" s="562"/>
    </row>
    <row s="1666" customFormat="1" customHeight="1" ht="11.25">
      <c r="A202" s="982"/>
      <c r="B202" s="1661"/>
      <c r="C202" s="1661"/>
      <c r="D202" s="339"/>
      <c r="K202" s="1155"/>
      <c r="L202" s="1661"/>
      <c r="M202" s="1661"/>
      <c r="N202" s="1155"/>
      <c r="O202" s="1155"/>
      <c r="P202" s="1155"/>
      <c r="Q202" s="1155"/>
      <c r="R202" s="1661"/>
      <c r="S202" s="1155"/>
      <c r="T202" s="1155"/>
      <c r="U202" s="540"/>
      <c r="V202" s="1155"/>
      <c r="W202" s="1155"/>
      <c r="X202" s="1155"/>
      <c r="Y202" s="1155"/>
      <c r="Z202" s="1155"/>
      <c r="AA202" s="1657"/>
      <c r="AB202" s="562"/>
      <c r="AC202" s="562"/>
      <c r="AD202" s="562"/>
      <c r="AE202" s="562"/>
    </row>
    <row s="1666" customFormat="1" customHeight="1" ht="11.25">
      <c r="A203" s="982"/>
      <c r="B203" s="1661"/>
      <c r="C203" s="1661"/>
      <c r="D203" s="339"/>
      <c r="K203" s="1155"/>
      <c r="L203" s="1661"/>
      <c r="M203" s="1661"/>
      <c r="N203" s="1155"/>
      <c r="O203" s="1155"/>
      <c r="P203" s="1155"/>
      <c r="Q203" s="1155"/>
      <c r="R203" s="1661"/>
      <c r="S203" s="1155"/>
      <c r="T203" s="1155"/>
      <c r="U203" s="540"/>
      <c r="V203" s="1155"/>
      <c r="W203" s="1155"/>
      <c r="X203" s="1155"/>
      <c r="Y203" s="1155"/>
      <c r="Z203" s="1155"/>
      <c r="AA203" s="1657"/>
      <c r="AB203" s="562"/>
      <c r="AC203" s="562"/>
      <c r="AD203" s="562"/>
      <c r="AE203" s="562"/>
    </row>
    <row s="1666" customFormat="1" customHeight="1" ht="11.25">
      <c r="A204" s="982"/>
      <c r="B204" s="1661"/>
      <c r="C204" s="1661"/>
      <c r="D204" s="339"/>
      <c r="K204" s="1155"/>
      <c r="L204" s="1661"/>
      <c r="M204" s="1661"/>
      <c r="N204" s="1155"/>
      <c r="O204" s="1155"/>
      <c r="P204" s="1155"/>
      <c r="Q204" s="1155"/>
      <c r="R204" s="1661"/>
      <c r="S204" s="1155"/>
      <c r="T204" s="1155"/>
      <c r="U204" s="540"/>
      <c r="V204" s="1155"/>
      <c r="W204" s="1155"/>
      <c r="X204" s="1155"/>
      <c r="Y204" s="1155"/>
      <c r="Z204" s="1155"/>
      <c r="AA204" s="1657"/>
      <c r="AB204" s="562"/>
      <c r="AC204" s="562"/>
      <c r="AD204" s="562"/>
      <c r="AE204" s="562"/>
    </row>
    <row s="1666" customFormat="1" customHeight="1" ht="11.25">
      <c r="A205" s="982"/>
      <c r="B205" s="1661"/>
      <c r="C205" s="1661"/>
      <c r="D205" s="339"/>
      <c r="K205" s="1155"/>
      <c r="L205" s="1661"/>
      <c r="M205" s="1661"/>
      <c r="N205" s="1155"/>
      <c r="O205" s="1155"/>
      <c r="P205" s="1155"/>
      <c r="Q205" s="1155"/>
      <c r="R205" s="1661"/>
      <c r="S205" s="1155"/>
      <c r="T205" s="1155"/>
      <c r="U205" s="540"/>
      <c r="V205" s="1155"/>
      <c r="W205" s="1155"/>
      <c r="X205" s="1155"/>
      <c r="Y205" s="1155"/>
      <c r="Z205" s="1155"/>
      <c r="AA205" s="1657"/>
      <c r="AB205" s="562"/>
      <c r="AC205" s="562"/>
      <c r="AD205" s="562"/>
      <c r="AE205" s="562"/>
    </row>
    <row s="1666" customFormat="1" customHeight="1" ht="11.25">
      <c r="A206" s="982"/>
      <c r="B206" s="1661"/>
      <c r="C206" s="1661"/>
      <c r="D206" s="339"/>
      <c r="K206" s="1155"/>
      <c r="L206" s="1661"/>
      <c r="M206" s="1661"/>
      <c r="N206" s="1155"/>
      <c r="O206" s="1155"/>
      <c r="P206" s="1155"/>
      <c r="Q206" s="1155"/>
      <c r="R206" s="1661"/>
      <c r="S206" s="1155"/>
      <c r="T206" s="1155"/>
      <c r="U206" s="540"/>
      <c r="V206" s="1155"/>
      <c r="W206" s="1155"/>
      <c r="X206" s="1155"/>
      <c r="Y206" s="1155"/>
      <c r="Z206" s="1155"/>
      <c r="AA206" s="1657"/>
      <c r="AB206" s="562"/>
      <c r="AC206" s="562"/>
      <c r="AD206" s="562"/>
      <c r="AE206" s="562"/>
    </row>
    <row s="1666" customFormat="1" customHeight="1" ht="11.25">
      <c r="A207" s="982"/>
      <c r="B207" s="1661"/>
      <c r="C207" s="1661"/>
      <c r="D207" s="339"/>
      <c r="K207" s="1155"/>
      <c r="L207" s="1661"/>
      <c r="M207" s="1661"/>
      <c r="N207" s="1155"/>
      <c r="O207" s="1155"/>
      <c r="P207" s="1155"/>
      <c r="Q207" s="1155"/>
      <c r="R207" s="1661"/>
      <c r="S207" s="1155"/>
      <c r="T207" s="1155"/>
      <c r="U207" s="540"/>
      <c r="V207" s="1155"/>
      <c r="W207" s="1155"/>
      <c r="X207" s="1155"/>
      <c r="Y207" s="1155"/>
      <c r="Z207" s="1155"/>
      <c r="AA207" s="1657"/>
      <c r="AB207" s="562"/>
      <c r="AC207" s="562"/>
      <c r="AD207" s="562"/>
      <c r="AE207" s="562"/>
    </row>
    <row s="1666" customFormat="1" customHeight="1" ht="11.25">
      <c r="A208" s="982"/>
      <c r="B208" s="1661"/>
      <c r="C208" s="1661"/>
      <c r="D208" s="339"/>
      <c r="K208" s="1155"/>
      <c r="L208" s="1661"/>
      <c r="M208" s="1661"/>
      <c r="N208" s="1155"/>
      <c r="O208" s="1155"/>
      <c r="P208" s="1155"/>
      <c r="Q208" s="1155"/>
      <c r="R208" s="1661"/>
      <c r="S208" s="1155"/>
      <c r="T208" s="1155"/>
      <c r="U208" s="540"/>
      <c r="V208" s="1155"/>
      <c r="W208" s="1155"/>
      <c r="X208" s="1155"/>
      <c r="Y208" s="1155"/>
      <c r="Z208" s="1155"/>
      <c r="AA208" s="1657"/>
      <c r="AB208" s="562"/>
      <c r="AC208" s="562"/>
      <c r="AD208" s="562"/>
      <c r="AE208" s="562"/>
    </row>
    <row s="1666" customFormat="1" customHeight="1" ht="11.25">
      <c r="A209" s="982"/>
      <c r="B209" s="1661"/>
      <c r="C209" s="1661"/>
      <c r="D209" s="339"/>
      <c r="K209" s="1155"/>
      <c r="L209" s="1661"/>
      <c r="M209" s="1661"/>
      <c r="N209" s="1155"/>
      <c r="O209" s="1155"/>
      <c r="P209" s="1155"/>
      <c r="Q209" s="1155"/>
      <c r="R209" s="1661"/>
      <c r="S209" s="1155"/>
      <c r="T209" s="1155"/>
      <c r="U209" s="540"/>
      <c r="V209" s="1155"/>
      <c r="W209" s="1155"/>
      <c r="X209" s="1155"/>
      <c r="Y209" s="1155"/>
      <c r="Z209" s="1155"/>
      <c r="AA209" s="1657"/>
      <c r="AB209" s="562"/>
      <c r="AC209" s="562"/>
      <c r="AD209" s="562"/>
      <c r="AE209" s="562"/>
    </row>
    <row s="1666" customFormat="1" customHeight="1" ht="11.25">
      <c r="A210" s="982"/>
      <c r="B210" s="1661"/>
      <c r="C210" s="1661"/>
      <c r="D210" s="339"/>
      <c r="K210" s="1155"/>
      <c r="L210" s="1661"/>
      <c r="M210" s="1661"/>
      <c r="N210" s="1155"/>
      <c r="O210" s="1155"/>
      <c r="P210" s="1155"/>
      <c r="Q210" s="1155"/>
      <c r="R210" s="1661"/>
      <c r="S210" s="1155"/>
      <c r="T210" s="1155"/>
      <c r="U210" s="540"/>
      <c r="V210" s="1155"/>
      <c r="W210" s="1155"/>
      <c r="X210" s="1155"/>
      <c r="Y210" s="1155"/>
      <c r="Z210" s="1155"/>
      <c r="AA210" s="1657"/>
      <c r="AB210" s="562"/>
      <c r="AC210" s="562"/>
      <c r="AD210" s="562"/>
      <c r="AE210" s="562"/>
    </row>
    <row s="1666" customFormat="1" customHeight="1" ht="11.25">
      <c r="A211" s="982"/>
      <c r="B211" s="1661"/>
      <c r="C211" s="1661"/>
      <c r="D211" s="339"/>
      <c r="K211" s="1155"/>
      <c r="L211" s="1661"/>
      <c r="M211" s="1661"/>
      <c r="N211" s="1155"/>
      <c r="O211" s="1155"/>
      <c r="P211" s="1155"/>
      <c r="Q211" s="1155"/>
      <c r="R211" s="1661"/>
      <c r="S211" s="1155"/>
      <c r="T211" s="1155"/>
      <c r="U211" s="540"/>
      <c r="V211" s="1155"/>
      <c r="W211" s="1155"/>
      <c r="X211" s="1155"/>
      <c r="Y211" s="1155"/>
      <c r="Z211" s="1155"/>
      <c r="AA211" s="1657"/>
      <c r="AB211" s="562"/>
      <c r="AC211" s="562"/>
      <c r="AD211" s="562"/>
      <c r="AE211" s="562"/>
    </row>
    <row s="1666" customFormat="1" customHeight="1" ht="11.25">
      <c r="A212" s="982"/>
      <c r="B212" s="1661"/>
      <c r="C212" s="1661"/>
      <c r="D212" s="339"/>
      <c r="K212" s="1155"/>
      <c r="L212" s="1661"/>
      <c r="M212" s="1661"/>
      <c r="N212" s="1155"/>
      <c r="O212" s="1155"/>
      <c r="P212" s="1155"/>
      <c r="Q212" s="1155"/>
      <c r="R212" s="1661"/>
      <c r="S212" s="1155"/>
      <c r="T212" s="1155"/>
      <c r="U212" s="540"/>
      <c r="V212" s="1155"/>
      <c r="W212" s="1155"/>
      <c r="X212" s="1155"/>
      <c r="Y212" s="1155"/>
      <c r="Z212" s="1155"/>
      <c r="AA212" s="1657"/>
      <c r="AB212" s="562"/>
      <c r="AC212" s="562"/>
      <c r="AD212" s="562"/>
      <c r="AE212" s="562"/>
    </row>
    <row s="1666" customFormat="1" customHeight="1" ht="11.25">
      <c r="A213" s="982"/>
      <c r="B213" s="1661"/>
      <c r="C213" s="1661"/>
      <c r="D213" s="339"/>
      <c r="K213" s="1155"/>
      <c r="L213" s="1661"/>
      <c r="M213" s="1661"/>
      <c r="N213" s="1155"/>
      <c r="O213" s="1155"/>
      <c r="P213" s="1155"/>
      <c r="Q213" s="1155"/>
      <c r="R213" s="1661"/>
      <c r="S213" s="1155"/>
      <c r="T213" s="1155"/>
      <c r="U213" s="540"/>
      <c r="V213" s="1155"/>
      <c r="W213" s="1155"/>
      <c r="X213" s="1155"/>
      <c r="Y213" s="1155"/>
      <c r="Z213" s="1155"/>
      <c r="AA213" s="1657"/>
      <c r="AB213" s="562"/>
      <c r="AC213" s="562"/>
      <c r="AD213" s="562"/>
      <c r="AE213" s="562"/>
    </row>
    <row s="1666" customFormat="1" customHeight="1" ht="11.25">
      <c r="A214" s="982"/>
      <c r="B214" s="1661"/>
      <c r="C214" s="1661"/>
      <c r="D214" s="339"/>
      <c r="K214" s="1155"/>
      <c r="L214" s="1661"/>
      <c r="M214" s="1661"/>
      <c r="N214" s="1155"/>
      <c r="O214" s="1155"/>
      <c r="P214" s="1155"/>
      <c r="Q214" s="1155"/>
      <c r="R214" s="1661"/>
      <c r="S214" s="1155"/>
      <c r="T214" s="1155"/>
      <c r="U214" s="540"/>
      <c r="V214" s="1155"/>
      <c r="W214" s="1155"/>
      <c r="X214" s="1155"/>
      <c r="Y214" s="1155"/>
      <c r="Z214" s="1155"/>
      <c r="AA214" s="1657"/>
      <c r="AB214" s="562"/>
      <c r="AC214" s="562"/>
      <c r="AD214" s="562"/>
      <c r="AE214" s="562"/>
    </row>
    <row s="1666" customFormat="1" customHeight="1" ht="11.25">
      <c r="A215" s="982"/>
      <c r="B215" s="1661"/>
      <c r="C215" s="1661"/>
      <c r="D215" s="339"/>
      <c r="K215" s="1155"/>
      <c r="L215" s="1661"/>
      <c r="M215" s="1661"/>
      <c r="N215" s="1155"/>
      <c r="O215" s="1155"/>
      <c r="P215" s="1155"/>
      <c r="Q215" s="1155"/>
      <c r="R215" s="1661"/>
      <c r="S215" s="1155"/>
      <c r="T215" s="1155"/>
      <c r="U215" s="540"/>
      <c r="V215" s="1155"/>
      <c r="W215" s="1155"/>
      <c r="X215" s="1155"/>
      <c r="Y215" s="1155"/>
      <c r="Z215" s="1155"/>
      <c r="AA215" s="1657"/>
      <c r="AB215" s="562"/>
      <c r="AC215" s="562"/>
      <c r="AD215" s="562"/>
      <c r="AE215" s="562"/>
    </row>
    <row s="1666" customFormat="1" customHeight="1" ht="11.25">
      <c r="A216" s="982"/>
      <c r="B216" s="1661"/>
      <c r="C216" s="1661"/>
      <c r="D216" s="339"/>
      <c r="K216" s="1155"/>
      <c r="L216" s="1661"/>
      <c r="M216" s="1661"/>
      <c r="N216" s="1155"/>
      <c r="O216" s="1155"/>
      <c r="P216" s="1155"/>
      <c r="Q216" s="1155"/>
      <c r="R216" s="1661"/>
      <c r="S216" s="1155"/>
      <c r="T216" s="1155"/>
      <c r="U216" s="540"/>
      <c r="V216" s="1155"/>
      <c r="W216" s="1155"/>
      <c r="X216" s="1155"/>
      <c r="Y216" s="1155"/>
      <c r="Z216" s="1155"/>
      <c r="AA216" s="1657"/>
      <c r="AB216" s="562"/>
      <c r="AC216" s="562"/>
      <c r="AD216" s="562"/>
      <c r="AE216" s="562"/>
    </row>
    <row s="1666" customFormat="1" customHeight="1" ht="11.25">
      <c r="A217" s="982"/>
      <c r="B217" s="1661"/>
      <c r="C217" s="1661"/>
      <c r="D217" s="339"/>
      <c r="K217" s="1155"/>
      <c r="L217" s="1661"/>
      <c r="M217" s="1661"/>
      <c r="N217" s="1155"/>
      <c r="O217" s="1155"/>
      <c r="P217" s="1155"/>
      <c r="Q217" s="1155"/>
      <c r="R217" s="1661"/>
      <c r="S217" s="1155"/>
      <c r="T217" s="1155"/>
      <c r="U217" s="540"/>
      <c r="V217" s="1155"/>
      <c r="W217" s="1155"/>
      <c r="X217" s="1155"/>
      <c r="Y217" s="1155"/>
      <c r="Z217" s="1155"/>
      <c r="AA217" s="1657"/>
      <c r="AB217" s="562"/>
      <c r="AC217" s="562"/>
      <c r="AD217" s="562"/>
      <c r="AE217" s="562"/>
    </row>
    <row s="1666" customFormat="1" customHeight="1" ht="11.25">
      <c r="A218" s="982"/>
      <c r="B218" s="1661"/>
      <c r="C218" s="1661"/>
      <c r="D218" s="339"/>
      <c r="K218" s="1155"/>
      <c r="L218" s="1661"/>
      <c r="M218" s="1661"/>
      <c r="N218" s="1155"/>
      <c r="O218" s="1155"/>
      <c r="P218" s="1155"/>
      <c r="Q218" s="1155"/>
      <c r="R218" s="1661"/>
      <c r="S218" s="1155"/>
      <c r="T218" s="1155"/>
      <c r="U218" s="540"/>
      <c r="V218" s="1155"/>
      <c r="W218" s="1155"/>
      <c r="X218" s="1155"/>
      <c r="Y218" s="1155"/>
      <c r="Z218" s="1155"/>
      <c r="AA218" s="1657"/>
      <c r="AB218" s="562"/>
      <c r="AC218" s="562"/>
      <c r="AD218" s="562"/>
      <c r="AE218" s="562"/>
    </row>
    <row s="1666" customFormat="1" customHeight="1" ht="11.25">
      <c r="A219" s="982"/>
      <c r="B219" s="1661"/>
      <c r="C219" s="1661"/>
      <c r="D219" s="339"/>
      <c r="K219" s="1155"/>
      <c r="L219" s="1661"/>
      <c r="M219" s="1661"/>
      <c r="N219" s="1155"/>
      <c r="O219" s="1155"/>
      <c r="P219" s="1155"/>
      <c r="Q219" s="1155"/>
      <c r="R219" s="1661"/>
      <c r="S219" s="1155"/>
      <c r="T219" s="1155"/>
      <c r="U219" s="540"/>
      <c r="V219" s="1155"/>
      <c r="W219" s="1155"/>
      <c r="X219" s="1155"/>
      <c r="Y219" s="1155"/>
      <c r="Z219" s="1155"/>
      <c r="AA219" s="1657"/>
      <c r="AB219" s="562"/>
      <c r="AC219" s="562"/>
      <c r="AD219" s="562"/>
      <c r="AE219" s="562"/>
    </row>
    <row s="1666" customFormat="1" customHeight="1" ht="11.25">
      <c r="A220" s="982"/>
      <c r="B220" s="1661"/>
      <c r="C220" s="1661"/>
      <c r="D220" s="339"/>
      <c r="K220" s="1155"/>
      <c r="L220" s="1661"/>
      <c r="M220" s="1661"/>
      <c r="N220" s="1155"/>
      <c r="O220" s="1155"/>
      <c r="P220" s="1155"/>
      <c r="Q220" s="1155"/>
      <c r="R220" s="1661"/>
      <c r="S220" s="1155"/>
      <c r="T220" s="1155"/>
      <c r="U220" s="540"/>
      <c r="V220" s="1155"/>
      <c r="W220" s="1155"/>
      <c r="X220" s="1155"/>
      <c r="Y220" s="1155"/>
      <c r="Z220" s="1155"/>
      <c r="AA220" s="1657"/>
      <c r="AB220" s="562"/>
      <c r="AC220" s="562"/>
      <c r="AD220" s="562"/>
      <c r="AE220" s="562"/>
    </row>
    <row s="1666" customFormat="1" customHeight="1" ht="11.25">
      <c r="A221" s="982"/>
      <c r="B221" s="1661"/>
      <c r="C221" s="1661"/>
      <c r="D221" s="339"/>
      <c r="K221" s="1155"/>
      <c r="L221" s="1661"/>
      <c r="M221" s="1661"/>
      <c r="N221" s="1155"/>
      <c r="O221" s="1155"/>
      <c r="P221" s="1155"/>
      <c r="Q221" s="1155"/>
      <c r="R221" s="1661"/>
      <c r="S221" s="1155"/>
      <c r="T221" s="1155"/>
      <c r="U221" s="540"/>
      <c r="V221" s="1155"/>
      <c r="W221" s="1155"/>
      <c r="X221" s="1155"/>
      <c r="Y221" s="1155"/>
      <c r="Z221" s="1155"/>
      <c r="AA221" s="1657"/>
      <c r="AB221" s="562"/>
      <c r="AC221" s="562"/>
      <c r="AD221" s="562"/>
      <c r="AE221" s="562"/>
    </row>
    <row s="1666" customFormat="1" customHeight="1" ht="11.25">
      <c r="A222" s="982"/>
      <c r="B222" s="1661"/>
      <c r="C222" s="1661"/>
      <c r="D222" s="339"/>
      <c r="K222" s="1155"/>
      <c r="L222" s="1661"/>
      <c r="M222" s="1661"/>
      <c r="N222" s="1155"/>
      <c r="O222" s="1155"/>
      <c r="P222" s="1155"/>
      <c r="Q222" s="1155"/>
      <c r="R222" s="1661"/>
      <c r="S222" s="1155"/>
      <c r="T222" s="1155"/>
      <c r="U222" s="540"/>
      <c r="V222" s="1155"/>
      <c r="W222" s="1155"/>
      <c r="X222" s="1155"/>
      <c r="Y222" s="1155"/>
      <c r="Z222" s="1155"/>
      <c r="AA222" s="1657"/>
      <c r="AB222" s="562"/>
      <c r="AC222" s="562"/>
      <c r="AD222" s="562"/>
      <c r="AE222" s="562"/>
    </row>
    <row s="1666" customFormat="1" customHeight="1" ht="11.25">
      <c r="A223" s="982"/>
      <c r="B223" s="1661"/>
      <c r="C223" s="1661"/>
      <c r="D223" s="339"/>
      <c r="K223" s="1155"/>
      <c r="L223" s="1661"/>
      <c r="M223" s="1661"/>
      <c r="N223" s="1155"/>
      <c r="O223" s="1155"/>
      <c r="P223" s="1155"/>
      <c r="Q223" s="1155"/>
      <c r="R223" s="1661"/>
      <c r="S223" s="1155"/>
      <c r="T223" s="1155"/>
      <c r="U223" s="540"/>
      <c r="V223" s="1155"/>
      <c r="W223" s="1155"/>
      <c r="X223" s="1155"/>
      <c r="Y223" s="1155"/>
      <c r="Z223" s="1155"/>
      <c r="AA223" s="1657"/>
      <c r="AB223" s="562"/>
      <c r="AC223" s="562"/>
      <c r="AD223" s="562"/>
      <c r="AE223" s="562"/>
    </row>
    <row s="1666" customFormat="1" customHeight="1" ht="11.25">
      <c r="A224" s="982"/>
      <c r="B224" s="1661"/>
      <c r="C224" s="1661"/>
      <c r="D224" s="339"/>
      <c r="K224" s="1155"/>
      <c r="L224" s="1661"/>
      <c r="M224" s="1661"/>
      <c r="N224" s="1155"/>
      <c r="O224" s="1155"/>
      <c r="P224" s="1155"/>
      <c r="Q224" s="1155"/>
      <c r="R224" s="1661"/>
      <c r="S224" s="1155"/>
      <c r="T224" s="1155"/>
      <c r="U224" s="540"/>
      <c r="V224" s="1155"/>
      <c r="W224" s="1155"/>
      <c r="X224" s="1155"/>
      <c r="Y224" s="1155"/>
      <c r="Z224" s="1155"/>
      <c r="AA224" s="1657"/>
      <c r="AB224" s="562"/>
      <c r="AC224" s="562"/>
      <c r="AD224" s="562"/>
      <c r="AE224" s="562"/>
    </row>
    <row s="1666" customFormat="1" customHeight="1" ht="11.25">
      <c r="A225" s="982"/>
      <c r="B225" s="1661"/>
      <c r="C225" s="1661"/>
      <c r="D225" s="339"/>
      <c r="K225" s="1155"/>
      <c r="L225" s="1661"/>
      <c r="M225" s="1661"/>
      <c r="N225" s="1155"/>
      <c r="O225" s="1155"/>
      <c r="P225" s="1155"/>
      <c r="Q225" s="1155"/>
      <c r="R225" s="1661"/>
      <c r="S225" s="1155"/>
      <c r="T225" s="1155"/>
      <c r="U225" s="540"/>
      <c r="V225" s="1155"/>
      <c r="W225" s="1155"/>
      <c r="X225" s="1155"/>
      <c r="Y225" s="1155"/>
      <c r="Z225" s="1155"/>
      <c r="AA225" s="1657"/>
      <c r="AB225" s="562"/>
      <c r="AC225" s="562"/>
      <c r="AD225" s="562"/>
      <c r="AE225" s="562"/>
    </row>
    <row s="1666" customFormat="1" customHeight="1" ht="11.25">
      <c r="A226" s="982"/>
      <c r="B226" s="1661"/>
      <c r="C226" s="1661"/>
      <c r="D226" s="339"/>
      <c r="K226" s="1155"/>
      <c r="L226" s="1661"/>
      <c r="M226" s="1661"/>
      <c r="N226" s="1155"/>
      <c r="O226" s="1155"/>
      <c r="P226" s="1155"/>
      <c r="Q226" s="1155"/>
      <c r="R226" s="1661"/>
      <c r="S226" s="1155"/>
      <c r="T226" s="1155"/>
      <c r="U226" s="540"/>
      <c r="V226" s="1155"/>
      <c r="W226" s="1155"/>
      <c r="X226" s="1155"/>
      <c r="Y226" s="1155"/>
      <c r="Z226" s="1155"/>
      <c r="AA226" s="1657"/>
      <c r="AB226" s="562"/>
      <c r="AC226" s="562"/>
      <c r="AD226" s="562"/>
      <c r="AE226" s="562"/>
    </row>
    <row s="1666" customFormat="1" customHeight="1" ht="11.25">
      <c r="A227" s="982"/>
      <c r="B227" s="1661"/>
      <c r="C227" s="1661"/>
      <c r="D227" s="339"/>
      <c r="K227" s="1155"/>
      <c r="L227" s="1661"/>
      <c r="M227" s="1661"/>
      <c r="N227" s="1155"/>
      <c r="O227" s="1155"/>
      <c r="P227" s="1155"/>
      <c r="Q227" s="1155"/>
      <c r="R227" s="1661"/>
      <c r="S227" s="1155"/>
      <c r="T227" s="1155"/>
      <c r="U227" s="540"/>
      <c r="V227" s="1155"/>
      <c r="W227" s="1155"/>
      <c r="X227" s="1155"/>
      <c r="Y227" s="1155"/>
      <c r="Z227" s="1155"/>
      <c r="AA227" s="1657"/>
      <c r="AB227" s="562"/>
      <c r="AC227" s="562"/>
      <c r="AD227" s="562"/>
      <c r="AE227" s="562"/>
    </row>
    <row s="1666" customFormat="1" customHeight="1" ht="11.25">
      <c r="A228" s="982"/>
      <c r="B228" s="1661"/>
      <c r="C228" s="1661"/>
      <c r="D228" s="339"/>
      <c r="K228" s="1155"/>
      <c r="L228" s="1661"/>
      <c r="M228" s="1661"/>
      <c r="N228" s="1155"/>
      <c r="O228" s="1155"/>
      <c r="P228" s="1155"/>
      <c r="Q228" s="1155"/>
      <c r="R228" s="1661"/>
      <c r="S228" s="1155"/>
      <c r="T228" s="1155"/>
      <c r="U228" s="540"/>
      <c r="V228" s="1155"/>
      <c r="W228" s="1155"/>
      <c r="X228" s="1155"/>
      <c r="Y228" s="1155"/>
      <c r="Z228" s="1155"/>
      <c r="AA228" s="1657"/>
      <c r="AB228" s="562"/>
      <c r="AC228" s="562"/>
      <c r="AD228" s="562"/>
      <c r="AE228" s="562"/>
    </row>
    <row s="1666" customFormat="1" customHeight="1" ht="11.25">
      <c r="A229" s="982"/>
      <c r="B229" s="1661"/>
      <c r="C229" s="1661"/>
      <c r="D229" s="339"/>
      <c r="K229" s="1155"/>
      <c r="L229" s="1661"/>
      <c r="M229" s="1661"/>
      <c r="N229" s="1155"/>
      <c r="O229" s="1155"/>
      <c r="P229" s="1155"/>
      <c r="Q229" s="1155"/>
      <c r="R229" s="1661"/>
      <c r="S229" s="1155"/>
      <c r="T229" s="1155"/>
      <c r="U229" s="540"/>
      <c r="V229" s="1155"/>
      <c r="W229" s="1155"/>
      <c r="X229" s="1155"/>
      <c r="Y229" s="1155"/>
      <c r="Z229" s="1155"/>
      <c r="AA229" s="1657"/>
      <c r="AB229" s="562"/>
      <c r="AC229" s="562"/>
      <c r="AD229" s="562"/>
      <c r="AE229" s="562"/>
    </row>
    <row s="1666" customFormat="1" customHeight="1" ht="11.25">
      <c r="A230" s="982"/>
      <c r="B230" s="1661"/>
      <c r="C230" s="1661"/>
      <c r="D230" s="339"/>
      <c r="K230" s="1155"/>
      <c r="L230" s="1661"/>
      <c r="M230" s="1661"/>
      <c r="N230" s="1155"/>
      <c r="O230" s="1155"/>
      <c r="P230" s="1155"/>
      <c r="Q230" s="1155"/>
      <c r="R230" s="1661"/>
      <c r="S230" s="1155"/>
      <c r="T230" s="1155"/>
      <c r="U230" s="540"/>
      <c r="V230" s="1155"/>
      <c r="W230" s="1155"/>
      <c r="X230" s="1155"/>
      <c r="Y230" s="1155"/>
      <c r="Z230" s="1155"/>
      <c r="AA230" s="1657"/>
      <c r="AB230" s="562"/>
      <c r="AC230" s="562"/>
      <c r="AD230" s="562"/>
      <c r="AE230" s="562"/>
    </row>
    <row s="1666" customFormat="1" customHeight="1" ht="11.25">
      <c r="A231" s="982"/>
      <c r="B231" s="1661"/>
      <c r="C231" s="1661"/>
      <c r="D231" s="339"/>
      <c r="K231" s="1155"/>
      <c r="L231" s="1661"/>
      <c r="M231" s="1661"/>
      <c r="N231" s="1155"/>
      <c r="O231" s="1155"/>
      <c r="P231" s="1155"/>
      <c r="Q231" s="1155"/>
      <c r="R231" s="1661"/>
      <c r="S231" s="1155"/>
      <c r="T231" s="1155"/>
      <c r="U231" s="540"/>
      <c r="V231" s="1155"/>
      <c r="W231" s="1155"/>
      <c r="X231" s="1155"/>
      <c r="Y231" s="1155"/>
      <c r="Z231" s="1155"/>
      <c r="AA231" s="1657"/>
      <c r="AB231" s="562"/>
      <c r="AC231" s="562"/>
      <c r="AD231" s="562"/>
      <c r="AE231" s="562"/>
    </row>
    <row s="1666" customFormat="1" customHeight="1" ht="11.25">
      <c r="A232" s="982"/>
      <c r="B232" s="1661"/>
      <c r="C232" s="1661"/>
      <c r="D232" s="339"/>
      <c r="K232" s="1155"/>
      <c r="L232" s="1661"/>
      <c r="M232" s="1661"/>
      <c r="N232" s="1155"/>
      <c r="O232" s="1155"/>
      <c r="P232" s="1155"/>
      <c r="Q232" s="1155"/>
      <c r="R232" s="1661"/>
      <c r="S232" s="1155"/>
      <c r="T232" s="1155"/>
      <c r="U232" s="540"/>
      <c r="V232" s="1155"/>
      <c r="W232" s="1155"/>
      <c r="X232" s="1155"/>
      <c r="Y232" s="1155"/>
      <c r="Z232" s="1155"/>
      <c r="AA232" s="1657"/>
      <c r="AB232" s="562"/>
      <c r="AC232" s="562"/>
      <c r="AD232" s="562"/>
      <c r="AE232" s="562"/>
    </row>
    <row s="1666" customFormat="1" customHeight="1" ht="11.25">
      <c r="A233" s="982"/>
      <c r="B233" s="1661"/>
      <c r="C233" s="1661"/>
      <c r="D233" s="339"/>
      <c r="K233" s="1155"/>
      <c r="L233" s="1661"/>
      <c r="M233" s="1661"/>
      <c r="N233" s="1155"/>
      <c r="O233" s="1155"/>
      <c r="P233" s="1155"/>
      <c r="Q233" s="1155"/>
      <c r="R233" s="1661"/>
      <c r="S233" s="1155"/>
      <c r="T233" s="1155"/>
      <c r="U233" s="540"/>
      <c r="V233" s="1155"/>
      <c r="W233" s="1155"/>
      <c r="X233" s="1155"/>
      <c r="Y233" s="1155"/>
      <c r="Z233" s="1155"/>
      <c r="AA233" s="1657"/>
      <c r="AB233" s="562"/>
      <c r="AC233" s="562"/>
      <c r="AD233" s="562"/>
      <c r="AE233" s="562"/>
    </row>
    <row s="1666" customFormat="1" customHeight="1" ht="11.25">
      <c r="A234" s="982"/>
      <c r="B234" s="1661"/>
      <c r="C234" s="1661"/>
      <c r="D234" s="339"/>
      <c r="K234" s="1155"/>
      <c r="L234" s="1661"/>
      <c r="M234" s="1661"/>
      <c r="N234" s="1155"/>
      <c r="O234" s="1155"/>
      <c r="P234" s="1155"/>
      <c r="Q234" s="1155"/>
      <c r="R234" s="1661"/>
      <c r="S234" s="1155"/>
      <c r="T234" s="1155"/>
      <c r="U234" s="540"/>
      <c r="V234" s="1155"/>
      <c r="W234" s="1155"/>
      <c r="X234" s="1155"/>
      <c r="Y234" s="1155"/>
      <c r="Z234" s="1155"/>
      <c r="AA234" s="1657"/>
      <c r="AB234" s="562"/>
      <c r="AC234" s="562"/>
      <c r="AD234" s="562"/>
      <c r="AE234" s="562"/>
    </row>
    <row s="1666" customFormat="1" customHeight="1" ht="11.25">
      <c r="A235" s="982"/>
      <c r="B235" s="1661"/>
      <c r="C235" s="1661"/>
      <c r="D235" s="339"/>
      <c r="K235" s="1155"/>
      <c r="L235" s="1661"/>
      <c r="M235" s="1661"/>
      <c r="N235" s="1155"/>
      <c r="O235" s="1155"/>
      <c r="P235" s="1155"/>
      <c r="Q235" s="1155"/>
      <c r="R235" s="1661"/>
      <c r="S235" s="1155"/>
      <c r="T235" s="1155"/>
      <c r="U235" s="540"/>
      <c r="V235" s="1155"/>
      <c r="W235" s="1155"/>
      <c r="X235" s="1155"/>
      <c r="Y235" s="1155"/>
      <c r="Z235" s="1155"/>
      <c r="AA235" s="1657"/>
      <c r="AB235" s="562"/>
      <c r="AC235" s="562"/>
      <c r="AD235" s="562"/>
      <c r="AE235" s="562"/>
    </row>
    <row s="1666" customFormat="1" customHeight="1" ht="11.25">
      <c r="A236" s="982"/>
      <c r="B236" s="1661"/>
      <c r="C236" s="1661"/>
      <c r="D236" s="339"/>
      <c r="K236" s="1155"/>
      <c r="L236" s="1661"/>
      <c r="M236" s="1661"/>
      <c r="N236" s="1155"/>
      <c r="O236" s="1155"/>
      <c r="P236" s="1155"/>
      <c r="Q236" s="1155"/>
      <c r="R236" s="1661"/>
      <c r="S236" s="1155"/>
      <c r="T236" s="1155"/>
      <c r="U236" s="540"/>
      <c r="V236" s="1155"/>
      <c r="W236" s="1155"/>
      <c r="X236" s="1155"/>
      <c r="Y236" s="1155"/>
      <c r="Z236" s="1155"/>
      <c r="AA236" s="1657"/>
      <c r="AB236" s="562"/>
      <c r="AC236" s="562"/>
      <c r="AD236" s="562"/>
      <c r="AE236" s="562"/>
    </row>
    <row s="1666" customFormat="1" customHeight="1" ht="11.25">
      <c r="A237" s="982"/>
      <c r="B237" s="1661"/>
      <c r="C237" s="1661"/>
      <c r="D237" s="339"/>
      <c r="K237" s="1155"/>
      <c r="L237" s="1661"/>
      <c r="M237" s="1661"/>
      <c r="N237" s="1155"/>
      <c r="O237" s="1155"/>
      <c r="P237" s="1155"/>
      <c r="Q237" s="1155"/>
      <c r="R237" s="1661"/>
      <c r="S237" s="1155"/>
      <c r="T237" s="1155"/>
      <c r="U237" s="540"/>
      <c r="V237" s="1155"/>
      <c r="W237" s="1155"/>
      <c r="X237" s="1155"/>
      <c r="Y237" s="1155"/>
      <c r="Z237" s="1155"/>
      <c r="AA237" s="1657"/>
      <c r="AB237" s="562"/>
      <c r="AC237" s="562"/>
      <c r="AD237" s="562"/>
      <c r="AE237" s="562"/>
    </row>
    <row s="1666" customFormat="1" customHeight="1" ht="11.25">
      <c r="A238" s="982"/>
      <c r="B238" s="1661"/>
      <c r="C238" s="1661"/>
      <c r="D238" s="339"/>
      <c r="K238" s="1155"/>
      <c r="L238" s="1661"/>
      <c r="M238" s="1661"/>
      <c r="N238" s="1155"/>
      <c r="O238" s="1155"/>
      <c r="P238" s="1155"/>
      <c r="Q238" s="1155"/>
      <c r="R238" s="1661"/>
      <c r="S238" s="1155"/>
      <c r="T238" s="1155"/>
      <c r="U238" s="540"/>
      <c r="V238" s="1155"/>
      <c r="W238" s="1155"/>
      <c r="X238" s="1155"/>
      <c r="Y238" s="1155"/>
      <c r="Z238" s="1155"/>
      <c r="AA238" s="1657"/>
      <c r="AB238" s="562"/>
      <c r="AC238" s="562"/>
      <c r="AD238" s="562"/>
      <c r="AE238" s="562"/>
    </row>
    <row s="1666" customFormat="1" customHeight="1" ht="11.25">
      <c r="A239" s="982"/>
      <c r="B239" s="1661"/>
      <c r="C239" s="1661"/>
      <c r="D239" s="339"/>
      <c r="K239" s="1155"/>
      <c r="L239" s="1661"/>
      <c r="M239" s="1661"/>
      <c r="N239" s="1155"/>
      <c r="O239" s="1155"/>
      <c r="P239" s="1155"/>
      <c r="Q239" s="1155"/>
      <c r="R239" s="1661"/>
      <c r="S239" s="1155"/>
      <c r="T239" s="1155"/>
      <c r="U239" s="540"/>
      <c r="V239" s="1155"/>
      <c r="W239" s="1155"/>
      <c r="X239" s="1155"/>
      <c r="Y239" s="1155"/>
      <c r="Z239" s="1155"/>
      <c r="AA239" s="1657"/>
      <c r="AB239" s="562"/>
      <c r="AC239" s="562"/>
      <c r="AD239" s="562"/>
      <c r="AE239" s="562"/>
    </row>
    <row s="1666" customFormat="1" customHeight="1" ht="11.25">
      <c r="A240" s="982"/>
      <c r="B240" s="1661"/>
      <c r="C240" s="1661"/>
      <c r="D240" s="339"/>
      <c r="K240" s="1155"/>
      <c r="L240" s="1661"/>
      <c r="M240" s="1661"/>
      <c r="N240" s="1155"/>
      <c r="O240" s="1155"/>
      <c r="P240" s="1155"/>
      <c r="Q240" s="1155"/>
      <c r="R240" s="1661"/>
      <c r="S240" s="1155"/>
      <c r="T240" s="1155"/>
      <c r="U240" s="540"/>
      <c r="V240" s="1155"/>
      <c r="W240" s="1155"/>
      <c r="X240" s="1155"/>
      <c r="Y240" s="1155"/>
      <c r="Z240" s="1155"/>
      <c r="AA240" s="1657"/>
      <c r="AB240" s="562"/>
      <c r="AC240" s="562"/>
      <c r="AD240" s="562"/>
      <c r="AE240" s="562"/>
    </row>
    <row s="1666" customFormat="1" customHeight="1" ht="11.25">
      <c r="A241" s="982"/>
      <c r="B241" s="1661"/>
      <c r="C241" s="1661"/>
      <c r="D241" s="339"/>
      <c r="K241" s="1155"/>
      <c r="L241" s="1661"/>
      <c r="M241" s="1661"/>
      <c r="N241" s="1155"/>
      <c r="O241" s="1155"/>
      <c r="P241" s="1155"/>
      <c r="Q241" s="1155"/>
      <c r="R241" s="1661"/>
      <c r="S241" s="1155"/>
      <c r="T241" s="1155"/>
      <c r="U241" s="540"/>
      <c r="V241" s="1155"/>
      <c r="W241" s="1155"/>
      <c r="X241" s="1155"/>
      <c r="Y241" s="1155"/>
      <c r="Z241" s="1155"/>
      <c r="AA241" s="1657"/>
      <c r="AB241" s="562"/>
      <c r="AC241" s="562"/>
      <c r="AD241" s="562"/>
      <c r="AE241" s="562"/>
    </row>
    <row s="1666" customFormat="1" customHeight="1" ht="11.25">
      <c r="A242" s="982"/>
      <c r="B242" s="1661"/>
      <c r="C242" s="1661"/>
      <c r="D242" s="339"/>
      <c r="K242" s="1155"/>
      <c r="L242" s="1661"/>
      <c r="M242" s="1661"/>
      <c r="N242" s="1155"/>
      <c r="O242" s="1155"/>
      <c r="P242" s="1155"/>
      <c r="Q242" s="1155"/>
      <c r="R242" s="1661"/>
      <c r="S242" s="1155"/>
      <c r="T242" s="1155"/>
      <c r="U242" s="540"/>
      <c r="V242" s="1155"/>
      <c r="W242" s="1155"/>
      <c r="X242" s="1155"/>
      <c r="Y242" s="1155"/>
      <c r="Z242" s="1155"/>
      <c r="AA242" s="1657"/>
      <c r="AB242" s="562"/>
      <c r="AC242" s="562"/>
      <c r="AD242" s="562"/>
      <c r="AE242" s="562"/>
    </row>
    <row s="1666" customFormat="1" customHeight="1" ht="11.25">
      <c r="A243" s="982"/>
      <c r="B243" s="1661"/>
      <c r="C243" s="1661"/>
      <c r="D243" s="339"/>
      <c r="K243" s="1155"/>
      <c r="L243" s="1661"/>
      <c r="M243" s="1661"/>
      <c r="N243" s="1155"/>
      <c r="O243" s="1155"/>
      <c r="P243" s="1155"/>
      <c r="Q243" s="1155"/>
      <c r="R243" s="1661"/>
      <c r="S243" s="1155"/>
      <c r="T243" s="1155"/>
      <c r="U243" s="540"/>
      <c r="V243" s="1155"/>
      <c r="W243" s="1155"/>
      <c r="X243" s="1155"/>
      <c r="Y243" s="1155"/>
      <c r="Z243" s="1155"/>
      <c r="AA243" s="1657"/>
      <c r="AB243" s="562"/>
      <c r="AC243" s="562"/>
      <c r="AD243" s="562"/>
      <c r="AE243" s="562"/>
    </row>
    <row s="1666" customFormat="1" customHeight="1" ht="11.25">
      <c r="A244" s="982"/>
      <c r="B244" s="1661"/>
      <c r="C244" s="1661"/>
      <c r="D244" s="339"/>
      <c r="K244" s="1155"/>
      <c r="L244" s="1661"/>
      <c r="M244" s="1661"/>
      <c r="N244" s="1155"/>
      <c r="O244" s="1155"/>
      <c r="P244" s="1155"/>
      <c r="Q244" s="1155"/>
      <c r="R244" s="1661"/>
      <c r="S244" s="1155"/>
      <c r="T244" s="1155"/>
      <c r="U244" s="540"/>
      <c r="V244" s="1155"/>
      <c r="W244" s="1155"/>
      <c r="X244" s="1155"/>
      <c r="Y244" s="1155"/>
      <c r="Z244" s="1155"/>
      <c r="AA244" s="1657"/>
      <c r="AB244" s="562"/>
      <c r="AC244" s="562"/>
      <c r="AD244" s="562"/>
      <c r="AE244" s="562"/>
    </row>
    <row s="1666" customFormat="1" customHeight="1" ht="11.25">
      <c r="A245" s="982"/>
      <c r="B245" s="1661"/>
      <c r="C245" s="1661"/>
      <c r="D245" s="339"/>
      <c r="K245" s="1155"/>
      <c r="L245" s="1661"/>
      <c r="M245" s="1661"/>
      <c r="N245" s="1155"/>
      <c r="O245" s="1155"/>
      <c r="P245" s="1155"/>
      <c r="Q245" s="1155"/>
      <c r="R245" s="1661"/>
      <c r="S245" s="1155"/>
      <c r="T245" s="1155"/>
      <c r="U245" s="540"/>
      <c r="V245" s="1155"/>
      <c r="W245" s="1155"/>
      <c r="X245" s="1155"/>
      <c r="Y245" s="1155"/>
      <c r="Z245" s="1155"/>
      <c r="AA245" s="1657"/>
      <c r="AB245" s="562"/>
      <c r="AC245" s="562"/>
      <c r="AD245" s="562"/>
      <c r="AE245" s="562"/>
    </row>
    <row s="1666" customFormat="1" customHeight="1" ht="11.25">
      <c r="A246" s="982"/>
      <c r="B246" s="1661"/>
      <c r="C246" s="1661"/>
      <c r="D246" s="339"/>
      <c r="K246" s="1155"/>
      <c r="L246" s="1661"/>
      <c r="M246" s="1661"/>
      <c r="N246" s="1155"/>
      <c r="O246" s="1155"/>
      <c r="P246" s="1155"/>
      <c r="Q246" s="1155"/>
      <c r="R246" s="1661"/>
      <c r="S246" s="1155"/>
      <c r="T246" s="1155"/>
      <c r="U246" s="540"/>
      <c r="V246" s="1155"/>
      <c r="W246" s="1155"/>
      <c r="X246" s="1155"/>
      <c r="Y246" s="1155"/>
      <c r="Z246" s="1155"/>
      <c r="AA246" s="1657"/>
      <c r="AB246" s="562"/>
      <c r="AC246" s="562"/>
      <c r="AD246" s="562"/>
      <c r="AE246" s="562"/>
    </row>
    <row s="1666" customFormat="1" customHeight="1" ht="11.25">
      <c r="A247" s="982"/>
      <c r="B247" s="1661"/>
      <c r="C247" s="1661"/>
      <c r="D247" s="339"/>
      <c r="K247" s="1155"/>
      <c r="L247" s="1661"/>
      <c r="M247" s="1661"/>
      <c r="N247" s="1155"/>
      <c r="O247" s="1155"/>
      <c r="P247" s="1155"/>
      <c r="Q247" s="1155"/>
      <c r="R247" s="1661"/>
      <c r="S247" s="1155"/>
      <c r="T247" s="1155"/>
      <c r="U247" s="540"/>
      <c r="V247" s="1155"/>
      <c r="W247" s="1155"/>
      <c r="X247" s="1155"/>
      <c r="Y247" s="1155"/>
      <c r="Z247" s="1155"/>
      <c r="AA247" s="1657"/>
      <c r="AB247" s="562"/>
      <c r="AC247" s="562"/>
      <c r="AD247" s="562"/>
      <c r="AE247" s="562"/>
    </row>
    <row s="1666" customFormat="1" customHeight="1" ht="11.25">
      <c r="A248" s="982"/>
      <c r="B248" s="1661"/>
      <c r="C248" s="1661"/>
      <c r="D248" s="339"/>
      <c r="K248" s="1155"/>
      <c r="L248" s="1661"/>
      <c r="M248" s="1661"/>
      <c r="N248" s="1155"/>
      <c r="O248" s="1155"/>
      <c r="P248" s="1155"/>
      <c r="Q248" s="1155"/>
      <c r="R248" s="1661"/>
      <c r="S248" s="1155"/>
      <c r="T248" s="1155"/>
      <c r="U248" s="540"/>
      <c r="V248" s="1155"/>
      <c r="W248" s="1155"/>
      <c r="X248" s="1155"/>
      <c r="Y248" s="1155"/>
      <c r="Z248" s="1155"/>
      <c r="AA248" s="1657"/>
      <c r="AB248" s="562"/>
      <c r="AC248" s="562"/>
      <c r="AD248" s="562"/>
      <c r="AE248" s="562"/>
    </row>
    <row s="1666" customFormat="1" customHeight="1" ht="11.25">
      <c r="A249" s="982"/>
      <c r="B249" s="1661"/>
      <c r="C249" s="1661"/>
      <c r="D249" s="339"/>
      <c r="K249" s="1155"/>
      <c r="L249" s="1661"/>
      <c r="M249" s="1661"/>
      <c r="N249" s="1155"/>
      <c r="O249" s="1155"/>
      <c r="P249" s="1155"/>
      <c r="Q249" s="1155"/>
      <c r="R249" s="1661"/>
      <c r="S249" s="1155"/>
      <c r="T249" s="1155"/>
      <c r="U249" s="540"/>
      <c r="V249" s="1155"/>
      <c r="W249" s="1155"/>
      <c r="X249" s="1155"/>
      <c r="Y249" s="1155"/>
      <c r="Z249" s="1155"/>
      <c r="AA249" s="1657"/>
      <c r="AB249" s="562"/>
      <c r="AC249" s="562"/>
      <c r="AD249" s="562"/>
      <c r="AE249" s="562"/>
    </row>
    <row s="1666" customFormat="1" customHeight="1" ht="11.25">
      <c r="A250" s="982"/>
      <c r="B250" s="1661"/>
      <c r="C250" s="1661"/>
      <c r="D250" s="339"/>
      <c r="K250" s="1155"/>
      <c r="L250" s="1661"/>
      <c r="M250" s="1661"/>
      <c r="N250" s="1155"/>
      <c r="O250" s="1155"/>
      <c r="P250" s="1155"/>
      <c r="Q250" s="1155"/>
      <c r="R250" s="1661"/>
      <c r="S250" s="1155"/>
      <c r="T250" s="1155"/>
      <c r="U250" s="540"/>
      <c r="V250" s="1155"/>
      <c r="W250" s="1155"/>
      <c r="X250" s="1155"/>
      <c r="Y250" s="1155"/>
      <c r="Z250" s="1155"/>
      <c r="AA250" s="1657"/>
      <c r="AB250" s="562"/>
      <c r="AC250" s="562"/>
      <c r="AD250" s="562"/>
      <c r="AE250" s="562"/>
    </row>
    <row s="1666" customFormat="1" customHeight="1" ht="11.25">
      <c r="A251" s="982"/>
      <c r="B251" s="1661"/>
      <c r="C251" s="1661"/>
      <c r="D251" s="339"/>
      <c r="K251" s="1155"/>
      <c r="L251" s="1661"/>
      <c r="M251" s="1661"/>
      <c r="N251" s="1155"/>
      <c r="O251" s="1155"/>
      <c r="P251" s="1155"/>
      <c r="Q251" s="1155"/>
      <c r="R251" s="1661"/>
      <c r="S251" s="1155"/>
      <c r="T251" s="1155"/>
      <c r="U251" s="540"/>
      <c r="V251" s="1155"/>
      <c r="W251" s="1155"/>
      <c r="X251" s="1155"/>
      <c r="Y251" s="1155"/>
      <c r="Z251" s="1155"/>
      <c r="AA251" s="1657"/>
      <c r="AB251" s="562"/>
      <c r="AC251" s="562"/>
      <c r="AD251" s="562"/>
      <c r="AE251" s="562"/>
    </row>
    <row s="1666" customFormat="1" customHeight="1" ht="11.25">
      <c r="A252" s="982"/>
      <c r="B252" s="1661"/>
      <c r="C252" s="1661"/>
      <c r="D252" s="339"/>
      <c r="K252" s="1155"/>
      <c r="L252" s="1661"/>
      <c r="M252" s="1661"/>
      <c r="N252" s="1155"/>
      <c r="O252" s="1155"/>
      <c r="P252" s="1155"/>
      <c r="Q252" s="1155"/>
      <c r="R252" s="1661"/>
      <c r="S252" s="1155"/>
      <c r="T252" s="1155"/>
      <c r="U252" s="540"/>
      <c r="V252" s="1155"/>
      <c r="W252" s="1155"/>
      <c r="X252" s="1155"/>
      <c r="Y252" s="1155"/>
      <c r="Z252" s="1155"/>
      <c r="AA252" s="1657"/>
      <c r="AB252" s="562"/>
      <c r="AC252" s="562"/>
      <c r="AD252" s="562"/>
      <c r="AE252" s="562"/>
    </row>
    <row s="1666" customFormat="1" customHeight="1" ht="11.25">
      <c r="A253" s="982"/>
      <c r="B253" s="1661"/>
      <c r="C253" s="1661"/>
      <c r="D253" s="339"/>
      <c r="K253" s="1155"/>
      <c r="L253" s="1661"/>
      <c r="M253" s="1661"/>
      <c r="N253" s="1155"/>
      <c r="O253" s="1155"/>
      <c r="P253" s="1155"/>
      <c r="Q253" s="1155"/>
      <c r="R253" s="1661"/>
      <c r="S253" s="1155"/>
      <c r="T253" s="1155"/>
      <c r="U253" s="540"/>
      <c r="V253" s="1155"/>
      <c r="W253" s="1155"/>
      <c r="X253" s="1155"/>
      <c r="Y253" s="1155"/>
      <c r="Z253" s="1155"/>
      <c r="AA253" s="1657"/>
      <c r="AB253" s="562"/>
      <c r="AC253" s="562"/>
      <c r="AD253" s="562"/>
      <c r="AE253" s="562"/>
    </row>
    <row s="1666" customFormat="1" customHeight="1" ht="11.25">
      <c r="A254" s="982"/>
      <c r="B254" s="1661"/>
      <c r="C254" s="1661"/>
      <c r="D254" s="339"/>
      <c r="K254" s="1155"/>
      <c r="L254" s="1661"/>
      <c r="M254" s="1661"/>
      <c r="N254" s="1155"/>
      <c r="O254" s="1155"/>
      <c r="P254" s="1155"/>
      <c r="Q254" s="1155"/>
      <c r="R254" s="1661"/>
      <c r="S254" s="1155"/>
      <c r="T254" s="1155"/>
      <c r="U254" s="540"/>
      <c r="V254" s="1155"/>
      <c r="W254" s="1155"/>
      <c r="X254" s="1155"/>
      <c r="Y254" s="1155"/>
      <c r="Z254" s="1155"/>
      <c r="AA254" s="1657"/>
      <c r="AB254" s="562"/>
      <c r="AC254" s="562"/>
      <c r="AD254" s="562"/>
      <c r="AE254" s="562"/>
    </row>
    <row s="1666" customFormat="1" customHeight="1" ht="11.25">
      <c r="A255" s="982"/>
      <c r="B255" s="1661"/>
      <c r="C255" s="1661"/>
      <c r="D255" s="339"/>
      <c r="K255" s="1155"/>
      <c r="L255" s="1661"/>
      <c r="M255" s="1661"/>
      <c r="N255" s="1155"/>
      <c r="O255" s="1155"/>
      <c r="P255" s="1155"/>
      <c r="Q255" s="1155"/>
      <c r="R255" s="1661"/>
      <c r="S255" s="1155"/>
      <c r="T255" s="1155"/>
      <c r="U255" s="540"/>
      <c r="V255" s="1155"/>
      <c r="W255" s="1155"/>
      <c r="X255" s="1155"/>
      <c r="Y255" s="1155"/>
      <c r="Z255" s="1155"/>
      <c r="AA255" s="1657"/>
      <c r="AB255" s="562"/>
      <c r="AC255" s="562"/>
      <c r="AD255" s="562"/>
      <c r="AE255" s="562"/>
    </row>
    <row s="1666" customFormat="1" customHeight="1" ht="11.25">
      <c r="A256" s="982"/>
      <c r="B256" s="1661"/>
      <c r="C256" s="1661"/>
      <c r="D256" s="339"/>
      <c r="K256" s="1155"/>
      <c r="L256" s="1661"/>
      <c r="M256" s="1661"/>
      <c r="N256" s="1155"/>
      <c r="O256" s="1155"/>
      <c r="P256" s="1155"/>
      <c r="Q256" s="1155"/>
      <c r="R256" s="1661"/>
      <c r="S256" s="1155"/>
      <c r="T256" s="1155"/>
      <c r="U256" s="540"/>
      <c r="V256" s="1155"/>
      <c r="W256" s="1155"/>
      <c r="X256" s="1155"/>
      <c r="Y256" s="1155"/>
      <c r="Z256" s="1155"/>
      <c r="AA256" s="1657"/>
      <c r="AB256" s="562"/>
      <c r="AC256" s="562"/>
      <c r="AD256" s="562"/>
      <c r="AE256" s="562"/>
    </row>
    <row s="1666" customFormat="1" customHeight="1" ht="11.25">
      <c r="A257" s="982"/>
      <c r="B257" s="1661"/>
      <c r="C257" s="1661"/>
      <c r="D257" s="339"/>
      <c r="K257" s="1155"/>
      <c r="L257" s="1661"/>
      <c r="M257" s="1661"/>
      <c r="N257" s="1155"/>
      <c r="O257" s="1155"/>
      <c r="P257" s="1155"/>
      <c r="Q257" s="1155"/>
      <c r="R257" s="1661"/>
      <c r="S257" s="1155"/>
      <c r="T257" s="1155"/>
      <c r="U257" s="540"/>
      <c r="V257" s="1155"/>
      <c r="W257" s="1155"/>
      <c r="X257" s="1155"/>
      <c r="Y257" s="1155"/>
      <c r="Z257" s="1155"/>
      <c r="AA257" s="1657"/>
      <c r="AB257" s="562"/>
      <c r="AC257" s="562"/>
      <c r="AD257" s="562"/>
      <c r="AE257" s="562"/>
    </row>
    <row s="1666" customFormat="1" customHeight="1" ht="11.25">
      <c r="A258" s="982"/>
      <c r="B258" s="1661"/>
      <c r="C258" s="1661"/>
      <c r="D258" s="339"/>
      <c r="K258" s="1155"/>
      <c r="L258" s="1661"/>
      <c r="M258" s="1661"/>
      <c r="N258" s="1155"/>
      <c r="O258" s="1155"/>
      <c r="P258" s="1155"/>
      <c r="Q258" s="1155"/>
      <c r="R258" s="1661"/>
      <c r="S258" s="1155"/>
      <c r="T258" s="1155"/>
      <c r="U258" s="540"/>
      <c r="V258" s="1155"/>
      <c r="W258" s="1155"/>
      <c r="X258" s="1155"/>
      <c r="Y258" s="1155"/>
      <c r="Z258" s="1155"/>
      <c r="AA258" s="1657"/>
      <c r="AB258" s="562"/>
      <c r="AC258" s="562"/>
      <c r="AD258" s="562"/>
      <c r="AE258" s="562"/>
    </row>
    <row s="1666" customFormat="1" customHeight="1" ht="11.25">
      <c r="A259" s="982"/>
      <c r="B259" s="1661"/>
      <c r="C259" s="1661"/>
      <c r="D259" s="339"/>
      <c r="K259" s="1155"/>
      <c r="L259" s="1661"/>
      <c r="M259" s="1661"/>
      <c r="N259" s="1155"/>
      <c r="O259" s="1155"/>
      <c r="P259" s="1155"/>
      <c r="Q259" s="1155"/>
      <c r="R259" s="1661"/>
      <c r="S259" s="1155"/>
      <c r="T259" s="1155"/>
      <c r="U259" s="540"/>
      <c r="V259" s="1155"/>
      <c r="W259" s="1155"/>
      <c r="X259" s="1155"/>
      <c r="Y259" s="1155"/>
      <c r="Z259" s="1155"/>
      <c r="AA259" s="1657"/>
      <c r="AB259" s="562"/>
      <c r="AC259" s="562"/>
      <c r="AD259" s="562"/>
      <c r="AE259" s="562"/>
    </row>
    <row s="1666" customFormat="1" customHeight="1" ht="11.25">
      <c r="A260" s="982"/>
      <c r="B260" s="1661"/>
      <c r="C260" s="1661"/>
      <c r="D260" s="339"/>
      <c r="K260" s="1155"/>
      <c r="L260" s="1661"/>
      <c r="M260" s="1661"/>
      <c r="N260" s="1155"/>
      <c r="O260" s="1155"/>
      <c r="P260" s="1155"/>
      <c r="Q260" s="1155"/>
      <c r="R260" s="1661"/>
      <c r="S260" s="1155"/>
      <c r="T260" s="1155"/>
      <c r="U260" s="540"/>
      <c r="V260" s="1155"/>
      <c r="W260" s="1155"/>
      <c r="X260" s="1155"/>
      <c r="Y260" s="1155"/>
      <c r="Z260" s="1155"/>
      <c r="AA260" s="1657"/>
      <c r="AB260" s="562"/>
      <c r="AC260" s="562"/>
      <c r="AD260" s="562"/>
      <c r="AE260" s="562"/>
    </row>
    <row s="1666" customFormat="1" customHeight="1" ht="11.25">
      <c r="A261" s="982"/>
      <c r="B261" s="1661"/>
      <c r="C261" s="1661"/>
      <c r="D261" s="339"/>
      <c r="K261" s="1155"/>
      <c r="L261" s="1661"/>
      <c r="M261" s="1661"/>
      <c r="N261" s="1155"/>
      <c r="O261" s="1155"/>
      <c r="P261" s="1155"/>
      <c r="Q261" s="1155"/>
      <c r="R261" s="1661"/>
      <c r="S261" s="1155"/>
      <c r="T261" s="1155"/>
      <c r="U261" s="540"/>
      <c r="V261" s="1155"/>
      <c r="W261" s="1155"/>
      <c r="X261" s="1155"/>
      <c r="Y261" s="1155"/>
      <c r="Z261" s="1155"/>
      <c r="AA261" s="1657"/>
      <c r="AB261" s="562"/>
      <c r="AC261" s="562"/>
      <c r="AD261" s="562"/>
      <c r="AE261" s="562"/>
    </row>
    <row s="1666" customFormat="1" customHeight="1" ht="11.25">
      <c r="A262" s="982"/>
      <c r="B262" s="1661"/>
      <c r="C262" s="1661"/>
      <c r="D262" s="339"/>
      <c r="K262" s="1155"/>
      <c r="L262" s="1661"/>
      <c r="M262" s="1661"/>
      <c r="N262" s="1155"/>
      <c r="O262" s="1155"/>
      <c r="P262" s="1155"/>
      <c r="Q262" s="1155"/>
      <c r="R262" s="1661"/>
      <c r="S262" s="1155"/>
      <c r="T262" s="1155"/>
      <c r="U262" s="540"/>
      <c r="V262" s="1155"/>
      <c r="W262" s="1155"/>
      <c r="X262" s="1155"/>
      <c r="Y262" s="1155"/>
      <c r="Z262" s="1155"/>
      <c r="AA262" s="1657"/>
      <c r="AB262" s="562"/>
      <c r="AC262" s="562"/>
      <c r="AD262" s="562"/>
      <c r="AE262" s="562"/>
    </row>
    <row s="1666" customFormat="1" customHeight="1" ht="11.25">
      <c r="A263" s="982"/>
      <c r="B263" s="1661"/>
      <c r="C263" s="1661"/>
      <c r="D263" s="339"/>
      <c r="K263" s="1155"/>
      <c r="L263" s="1661"/>
      <c r="M263" s="1661"/>
      <c r="N263" s="1155"/>
      <c r="O263" s="1155"/>
      <c r="P263" s="1155"/>
      <c r="Q263" s="1155"/>
      <c r="R263" s="1661"/>
      <c r="S263" s="1155"/>
      <c r="T263" s="1155"/>
      <c r="U263" s="540"/>
      <c r="V263" s="1155"/>
      <c r="W263" s="1155"/>
      <c r="X263" s="1155"/>
      <c r="Y263" s="1155"/>
      <c r="Z263" s="1155"/>
      <c r="AA263" s="1657"/>
      <c r="AB263" s="562"/>
      <c r="AC263" s="562"/>
      <c r="AD263" s="562"/>
      <c r="AE263" s="562"/>
    </row>
    <row s="1666" customFormat="1" customHeight="1" ht="11.25">
      <c r="A264" s="982"/>
      <c r="B264" s="1661"/>
      <c r="C264" s="1661"/>
      <c r="D264" s="339"/>
      <c r="K264" s="1155"/>
      <c r="L264" s="1661"/>
      <c r="M264" s="1661"/>
      <c r="N264" s="1155"/>
      <c r="O264" s="1155"/>
      <c r="P264" s="1155"/>
      <c r="Q264" s="1155"/>
      <c r="R264" s="1661"/>
      <c r="S264" s="1155"/>
      <c r="T264" s="1155"/>
      <c r="U264" s="540"/>
      <c r="V264" s="1155"/>
      <c r="W264" s="1155"/>
      <c r="X264" s="1155"/>
      <c r="Y264" s="1155"/>
      <c r="Z264" s="1155"/>
      <c r="AA264" s="1657"/>
      <c r="AB264" s="562"/>
      <c r="AC264" s="562"/>
      <c r="AD264" s="562"/>
      <c r="AE264" s="562"/>
    </row>
    <row s="1666" customFormat="1" customHeight="1" ht="11.25">
      <c r="A265" s="982"/>
      <c r="B265" s="1661"/>
      <c r="C265" s="1661"/>
      <c r="D265" s="339"/>
      <c r="K265" s="1155"/>
      <c r="L265" s="1661"/>
      <c r="M265" s="1661"/>
      <c r="N265" s="1155"/>
      <c r="O265" s="1155"/>
      <c r="P265" s="1155"/>
      <c r="Q265" s="1155"/>
      <c r="R265" s="1661"/>
      <c r="S265" s="1155"/>
      <c r="T265" s="1155"/>
      <c r="U265" s="540"/>
      <c r="V265" s="1155"/>
      <c r="W265" s="1155"/>
      <c r="X265" s="1155"/>
      <c r="Y265" s="1155"/>
      <c r="Z265" s="1155"/>
      <c r="AA265" s="1657"/>
      <c r="AB265" s="562"/>
      <c r="AC265" s="562"/>
      <c r="AD265" s="562"/>
      <c r="AE265" s="562"/>
    </row>
    <row s="1666" customFormat="1" customHeight="1" ht="11.25">
      <c r="A266" s="982"/>
      <c r="B266" s="1661"/>
      <c r="C266" s="1661"/>
      <c r="D266" s="339"/>
      <c r="K266" s="1155"/>
      <c r="L266" s="1661"/>
      <c r="M266" s="1661"/>
      <c r="N266" s="1155"/>
      <c r="O266" s="1155"/>
      <c r="P266" s="1155"/>
      <c r="Q266" s="1155"/>
      <c r="R266" s="1661"/>
      <c r="S266" s="1155"/>
      <c r="T266" s="1155"/>
      <c r="U266" s="540"/>
      <c r="V266" s="1155"/>
      <c r="W266" s="1155"/>
      <c r="X266" s="1155"/>
      <c r="Y266" s="1155"/>
      <c r="Z266" s="1155"/>
      <c r="AA266" s="1657"/>
      <c r="AB266" s="562"/>
      <c r="AC266" s="562"/>
      <c r="AD266" s="562"/>
      <c r="AE266" s="562"/>
    </row>
    <row s="1666" customFormat="1" customHeight="1" ht="11.25">
      <c r="A267" s="982"/>
      <c r="B267" s="1661"/>
      <c r="C267" s="1661"/>
      <c r="D267" s="339"/>
      <c r="K267" s="1155"/>
      <c r="L267" s="1661"/>
      <c r="M267" s="1661"/>
      <c r="N267" s="1155"/>
      <c r="O267" s="1155"/>
      <c r="P267" s="1155"/>
      <c r="Q267" s="1155"/>
      <c r="R267" s="1661"/>
      <c r="S267" s="1155"/>
      <c r="T267" s="1155"/>
      <c r="U267" s="540"/>
      <c r="V267" s="1155"/>
      <c r="W267" s="1155"/>
      <c r="X267" s="1155"/>
      <c r="Y267" s="1155"/>
      <c r="Z267" s="1155"/>
      <c r="AA267" s="1657"/>
      <c r="AB267" s="562"/>
      <c r="AC267" s="562"/>
      <c r="AD267" s="562"/>
      <c r="AE267" s="562"/>
    </row>
    <row s="1666" customFormat="1" customHeight="1" ht="11.25">
      <c r="A268" s="982"/>
      <c r="B268" s="1661"/>
      <c r="C268" s="1661"/>
      <c r="D268" s="339"/>
      <c r="K268" s="1155"/>
      <c r="L268" s="1661"/>
      <c r="M268" s="1661"/>
      <c r="N268" s="1155"/>
      <c r="O268" s="1155"/>
      <c r="P268" s="1155"/>
      <c r="Q268" s="1155"/>
      <c r="R268" s="1661"/>
      <c r="S268" s="1155"/>
      <c r="T268" s="1155"/>
      <c r="U268" s="540"/>
      <c r="V268" s="1155"/>
      <c r="W268" s="1155"/>
      <c r="X268" s="1155"/>
      <c r="Y268" s="1155"/>
      <c r="Z268" s="1155"/>
      <c r="AA268" s="1657"/>
      <c r="AB268" s="562"/>
      <c r="AC268" s="562"/>
      <c r="AD268" s="562"/>
      <c r="AE268" s="562"/>
    </row>
    <row s="1666" customFormat="1" customHeight="1" ht="11.25">
      <c r="A269" s="982"/>
      <c r="B269" s="1661"/>
      <c r="C269" s="1661"/>
      <c r="D269" s="339"/>
      <c r="K269" s="1155"/>
      <c r="L269" s="1661"/>
      <c r="M269" s="1661"/>
      <c r="N269" s="1155"/>
      <c r="O269" s="1155"/>
      <c r="P269" s="1155"/>
      <c r="Q269" s="1155"/>
      <c r="R269" s="1661"/>
      <c r="S269" s="1155"/>
      <c r="T269" s="1155"/>
      <c r="U269" s="540"/>
      <c r="V269" s="1155"/>
      <c r="W269" s="1155"/>
      <c r="X269" s="1155"/>
      <c r="Y269" s="1155"/>
      <c r="Z269" s="1155"/>
      <c r="AA269" s="1657"/>
      <c r="AB269" s="562"/>
      <c r="AC269" s="562"/>
      <c r="AD269" s="562"/>
      <c r="AE269" s="562"/>
    </row>
    <row s="1666" customFormat="1" customHeight="1" ht="11.25">
      <c r="A270" s="982"/>
      <c r="B270" s="1661"/>
      <c r="C270" s="1661"/>
      <c r="D270" s="339"/>
      <c r="K270" s="1155"/>
      <c r="L270" s="1661"/>
      <c r="M270" s="1661"/>
      <c r="N270" s="1155"/>
      <c r="O270" s="1155"/>
      <c r="P270" s="1155"/>
      <c r="Q270" s="1155"/>
      <c r="R270" s="1661"/>
      <c r="S270" s="1155"/>
      <c r="T270" s="1155"/>
      <c r="U270" s="540"/>
      <c r="V270" s="1155"/>
      <c r="W270" s="1155"/>
      <c r="X270" s="1155"/>
      <c r="Y270" s="1155"/>
      <c r="Z270" s="1155"/>
      <c r="AA270" s="1657"/>
      <c r="AB270" s="562"/>
      <c r="AC270" s="562"/>
      <c r="AD270" s="562"/>
      <c r="AE270" s="562"/>
    </row>
    <row s="1666" customFormat="1" customHeight="1" ht="11.25">
      <c r="A271" s="982"/>
      <c r="B271" s="1661"/>
      <c r="C271" s="1661"/>
      <c r="D271" s="339"/>
      <c r="K271" s="1155"/>
      <c r="L271" s="1661"/>
      <c r="M271" s="1661"/>
      <c r="N271" s="1155"/>
      <c r="O271" s="1155"/>
      <c r="P271" s="1155"/>
      <c r="Q271" s="1155"/>
      <c r="R271" s="1661"/>
      <c r="S271" s="1155"/>
      <c r="T271" s="1155"/>
      <c r="U271" s="540"/>
      <c r="V271" s="1155"/>
      <c r="W271" s="1155"/>
      <c r="X271" s="1155"/>
      <c r="Y271" s="1155"/>
      <c r="Z271" s="1155"/>
      <c r="AA271" s="1657"/>
      <c r="AB271" s="562"/>
      <c r="AC271" s="562"/>
      <c r="AD271" s="562"/>
      <c r="AE271" s="562"/>
    </row>
    <row s="1666" customFormat="1" customHeight="1" ht="11.25">
      <c r="A272" s="982"/>
      <c r="B272" s="1661"/>
      <c r="C272" s="1661"/>
      <c r="D272" s="339"/>
      <c r="K272" s="1155"/>
      <c r="L272" s="1661"/>
      <c r="M272" s="1661"/>
      <c r="N272" s="1155"/>
      <c r="O272" s="1155"/>
      <c r="P272" s="1155"/>
      <c r="Q272" s="1155"/>
      <c r="R272" s="1661"/>
      <c r="S272" s="1155"/>
      <c r="T272" s="1155"/>
      <c r="U272" s="540"/>
      <c r="V272" s="1155"/>
      <c r="W272" s="1155"/>
      <c r="X272" s="1155"/>
      <c r="Y272" s="1155"/>
      <c r="Z272" s="1155"/>
      <c r="AA272" s="1657"/>
      <c r="AB272" s="562"/>
      <c r="AC272" s="562"/>
      <c r="AD272" s="562"/>
      <c r="AE272" s="562"/>
    </row>
    <row s="1666" customFormat="1" customHeight="1" ht="11.25">
      <c r="A273" s="982"/>
      <c r="B273" s="1661"/>
      <c r="C273" s="1661"/>
      <c r="D273" s="339"/>
      <c r="K273" s="1155"/>
      <c r="L273" s="1661"/>
      <c r="M273" s="1661"/>
      <c r="N273" s="1155"/>
      <c r="O273" s="1155"/>
      <c r="P273" s="1155"/>
      <c r="Q273" s="1155"/>
      <c r="R273" s="1661"/>
      <c r="S273" s="1155"/>
      <c r="T273" s="1155"/>
      <c r="U273" s="540"/>
      <c r="V273" s="1155"/>
      <c r="W273" s="1155"/>
      <c r="X273" s="1155"/>
      <c r="Y273" s="1155"/>
      <c r="Z273" s="1155"/>
      <c r="AA273" s="1657"/>
      <c r="AB273" s="562"/>
      <c r="AC273" s="562"/>
      <c r="AD273" s="562"/>
      <c r="AE273" s="562"/>
    </row>
    <row s="1666" customFormat="1" customHeight="1" ht="11.25">
      <c r="A274" s="982"/>
      <c r="B274" s="1661"/>
      <c r="C274" s="1661"/>
      <c r="D274" s="339"/>
      <c r="K274" s="1155"/>
      <c r="L274" s="1661"/>
      <c r="M274" s="1661"/>
      <c r="N274" s="1155"/>
      <c r="O274" s="1155"/>
      <c r="P274" s="1155"/>
      <c r="Q274" s="1155"/>
      <c r="R274" s="1661"/>
      <c r="S274" s="1155"/>
      <c r="T274" s="1155"/>
      <c r="U274" s="540"/>
      <c r="V274" s="1155"/>
      <c r="W274" s="1155"/>
      <c r="X274" s="1155"/>
      <c r="Y274" s="1155"/>
      <c r="Z274" s="1155"/>
      <c r="AA274" s="1657"/>
      <c r="AB274" s="562"/>
      <c r="AC274" s="562"/>
      <c r="AD274" s="562"/>
      <c r="AE274" s="562"/>
    </row>
    <row s="1666" customFormat="1" customHeight="1" ht="11.25">
      <c r="A275" s="982"/>
      <c r="B275" s="1661"/>
      <c r="C275" s="1661"/>
      <c r="D275" s="339"/>
      <c r="K275" s="1155"/>
      <c r="L275" s="1661"/>
      <c r="M275" s="1661"/>
      <c r="N275" s="1155"/>
      <c r="O275" s="1155"/>
      <c r="P275" s="1155"/>
      <c r="Q275" s="1155"/>
      <c r="R275" s="1661"/>
      <c r="S275" s="1155"/>
      <c r="T275" s="1155"/>
      <c r="U275" s="540"/>
      <c r="V275" s="1155"/>
      <c r="W275" s="1155"/>
      <c r="X275" s="1155"/>
      <c r="Y275" s="1155"/>
      <c r="Z275" s="1155"/>
      <c r="AA275" s="1657"/>
      <c r="AB275" s="562"/>
      <c r="AC275" s="562"/>
      <c r="AD275" s="562"/>
      <c r="AE275" s="562"/>
    </row>
    <row s="1666" customFormat="1" customHeight="1" ht="11.25">
      <c r="A276" s="982"/>
      <c r="B276" s="1661"/>
      <c r="C276" s="1661"/>
      <c r="D276" s="339"/>
      <c r="K276" s="1155"/>
      <c r="L276" s="1661"/>
      <c r="M276" s="1661"/>
      <c r="N276" s="1155"/>
      <c r="O276" s="1155"/>
      <c r="P276" s="1155"/>
      <c r="Q276" s="1155"/>
      <c r="R276" s="1661"/>
      <c r="S276" s="1155"/>
      <c r="T276" s="1155"/>
      <c r="U276" s="540"/>
      <c r="V276" s="1155"/>
      <c r="W276" s="1155"/>
      <c r="X276" s="1155"/>
      <c r="Y276" s="1155"/>
      <c r="Z276" s="1155"/>
      <c r="AA276" s="1657"/>
      <c r="AB276" s="562"/>
      <c r="AC276" s="562"/>
      <c r="AD276" s="562"/>
      <c r="AE276" s="562"/>
    </row>
    <row s="1666" customFormat="1" customHeight="1" ht="11.25">
      <c r="A277" s="982"/>
      <c r="B277" s="1661"/>
      <c r="C277" s="1661"/>
      <c r="D277" s="339"/>
      <c r="K277" s="1155"/>
      <c r="L277" s="1661"/>
      <c r="M277" s="1661"/>
      <c r="N277" s="1155"/>
      <c r="O277" s="1155"/>
      <c r="P277" s="1155"/>
      <c r="Q277" s="1155"/>
      <c r="R277" s="1661"/>
      <c r="S277" s="1155"/>
      <c r="T277" s="1155"/>
      <c r="U277" s="540"/>
      <c r="V277" s="1155"/>
      <c r="W277" s="1155"/>
      <c r="X277" s="1155"/>
      <c r="Y277" s="1155"/>
      <c r="Z277" s="1155"/>
      <c r="AA277" s="1657"/>
      <c r="AB277" s="562"/>
      <c r="AC277" s="562"/>
      <c r="AD277" s="562"/>
      <c r="AE277" s="562"/>
    </row>
    <row s="1666" customFormat="1" customHeight="1" ht="11.25">
      <c r="A278" s="982"/>
      <c r="B278" s="1661"/>
      <c r="C278" s="1661"/>
      <c r="D278" s="339"/>
      <c r="K278" s="1155"/>
      <c r="L278" s="1661"/>
      <c r="M278" s="1661"/>
      <c r="N278" s="1155"/>
      <c r="O278" s="1155"/>
      <c r="P278" s="1155"/>
      <c r="Q278" s="1155"/>
      <c r="R278" s="1661"/>
      <c r="S278" s="1155"/>
      <c r="T278" s="1155"/>
      <c r="U278" s="540"/>
      <c r="V278" s="1155"/>
      <c r="W278" s="1155"/>
      <c r="X278" s="1155"/>
      <c r="Y278" s="1155"/>
      <c r="Z278" s="1155"/>
      <c r="AA278" s="1657"/>
      <c r="AB278" s="562"/>
      <c r="AC278" s="562"/>
      <c r="AD278" s="562"/>
      <c r="AE278" s="562"/>
    </row>
    <row s="1666" customFormat="1" customHeight="1" ht="11.25">
      <c r="A279" s="982"/>
      <c r="B279" s="1661"/>
      <c r="C279" s="1661"/>
      <c r="D279" s="339"/>
      <c r="K279" s="1155"/>
      <c r="L279" s="1661"/>
      <c r="M279" s="1661"/>
      <c r="N279" s="1155"/>
      <c r="O279" s="1155"/>
      <c r="P279" s="1155"/>
      <c r="Q279" s="1155"/>
      <c r="R279" s="1661"/>
      <c r="S279" s="1155"/>
      <c r="T279" s="1155"/>
      <c r="U279" s="540"/>
      <c r="V279" s="1155"/>
      <c r="W279" s="1155"/>
      <c r="X279" s="1155"/>
      <c r="Y279" s="1155"/>
      <c r="Z279" s="1155"/>
      <c r="AA279" s="1657"/>
      <c r="AB279" s="562"/>
      <c r="AC279" s="562"/>
      <c r="AD279" s="562"/>
      <c r="AE279" s="562"/>
    </row>
    <row s="1666" customFormat="1" customHeight="1" ht="11.25">
      <c r="A280" s="982"/>
      <c r="B280" s="1661"/>
      <c r="C280" s="1661"/>
      <c r="D280" s="339"/>
      <c r="K280" s="1155"/>
      <c r="L280" s="1661"/>
      <c r="M280" s="1661"/>
      <c r="N280" s="1155"/>
      <c r="O280" s="1155"/>
      <c r="P280" s="1155"/>
      <c r="Q280" s="1155"/>
      <c r="R280" s="1661"/>
      <c r="S280" s="1155"/>
      <c r="T280" s="1155"/>
      <c r="U280" s="540"/>
      <c r="V280" s="1155"/>
      <c r="W280" s="1155"/>
      <c r="X280" s="1155"/>
      <c r="Y280" s="1155"/>
      <c r="Z280" s="1155"/>
      <c r="AA280" s="1657"/>
      <c r="AB280" s="562"/>
      <c r="AC280" s="562"/>
      <c r="AD280" s="562"/>
      <c r="AE280" s="562"/>
    </row>
    <row s="1666" customFormat="1" customHeight="1" ht="11.25">
      <c r="A281" s="982"/>
      <c r="B281" s="1661"/>
      <c r="C281" s="1661"/>
      <c r="D281" s="339"/>
      <c r="K281" s="1155"/>
      <c r="L281" s="1661"/>
      <c r="M281" s="1661"/>
      <c r="N281" s="1155"/>
      <c r="O281" s="1155"/>
      <c r="P281" s="1155"/>
      <c r="Q281" s="1155"/>
      <c r="R281" s="1661"/>
      <c r="S281" s="1155"/>
      <c r="T281" s="1155"/>
      <c r="U281" s="540"/>
      <c r="V281" s="1155"/>
      <c r="W281" s="1155"/>
      <c r="X281" s="1155"/>
      <c r="Y281" s="1155"/>
      <c r="Z281" s="1155"/>
      <c r="AA281" s="1657"/>
      <c r="AB281" s="562"/>
      <c r="AC281" s="562"/>
      <c r="AD281" s="562"/>
      <c r="AE281" s="562"/>
    </row>
    <row s="1666" customFormat="1" customHeight="1" ht="11.25">
      <c r="A282" s="982"/>
      <c r="B282" s="1661"/>
      <c r="C282" s="1661"/>
      <c r="D282" s="339"/>
      <c r="K282" s="1155"/>
      <c r="L282" s="1661"/>
      <c r="M282" s="1661"/>
      <c r="N282" s="1155"/>
      <c r="O282" s="1155"/>
      <c r="P282" s="1155"/>
      <c r="Q282" s="1155"/>
      <c r="R282" s="1661"/>
      <c r="S282" s="1155"/>
      <c r="T282" s="1155"/>
      <c r="U282" s="540"/>
      <c r="V282" s="1155"/>
      <c r="W282" s="1155"/>
      <c r="X282" s="1155"/>
      <c r="Y282" s="1155"/>
      <c r="Z282" s="1155"/>
      <c r="AA282" s="1657"/>
      <c r="AB282" s="562"/>
      <c r="AC282" s="562"/>
      <c r="AD282" s="562"/>
      <c r="AE282" s="562"/>
    </row>
    <row s="1666" customFormat="1" customHeight="1" ht="11.25">
      <c r="A283" s="982"/>
      <c r="B283" s="1661"/>
      <c r="C283" s="1661"/>
      <c r="D283" s="339"/>
      <c r="K283" s="1155"/>
      <c r="L283" s="1661"/>
      <c r="M283" s="1661"/>
      <c r="N283" s="1155"/>
      <c r="O283" s="1155"/>
      <c r="P283" s="1155"/>
      <c r="Q283" s="1155"/>
      <c r="R283" s="1661"/>
      <c r="S283" s="1155"/>
      <c r="T283" s="1155"/>
      <c r="U283" s="540"/>
      <c r="V283" s="1155"/>
      <c r="W283" s="1155"/>
      <c r="X283" s="1155"/>
      <c r="Y283" s="1155"/>
      <c r="Z283" s="1155"/>
      <c r="AA283" s="1657"/>
      <c r="AB283" s="562"/>
      <c r="AC283" s="562"/>
      <c r="AD283" s="562"/>
      <c r="AE283" s="562"/>
    </row>
    <row s="1666" customFormat="1" customHeight="1" ht="11.25">
      <c r="A284" s="982"/>
      <c r="B284" s="1661"/>
      <c r="C284" s="1661"/>
      <c r="D284" s="339"/>
      <c r="K284" s="1155"/>
      <c r="L284" s="1661"/>
      <c r="M284" s="1661"/>
      <c r="N284" s="1155"/>
      <c r="O284" s="1155"/>
      <c r="P284" s="1155"/>
      <c r="Q284" s="1155"/>
      <c r="R284" s="1661"/>
      <c r="S284" s="1155"/>
      <c r="T284" s="1155"/>
      <c r="U284" s="540"/>
      <c r="V284" s="1155"/>
      <c r="W284" s="1155"/>
      <c r="X284" s="1155"/>
      <c r="Y284" s="1155"/>
      <c r="Z284" s="1155"/>
      <c r="AA284" s="1657"/>
      <c r="AB284" s="562"/>
      <c r="AC284" s="562"/>
      <c r="AD284" s="562"/>
      <c r="AE284" s="562"/>
    </row>
    <row s="1666" customFormat="1" customHeight="1" ht="11.25">
      <c r="A285" s="982"/>
      <c r="B285" s="1661"/>
      <c r="C285" s="1661"/>
      <c r="D285" s="339"/>
      <c r="K285" s="1155"/>
      <c r="L285" s="1661"/>
      <c r="M285" s="1661"/>
      <c r="N285" s="1155"/>
      <c r="O285" s="1155"/>
      <c r="P285" s="1155"/>
      <c r="Q285" s="1155"/>
      <c r="R285" s="1661"/>
      <c r="S285" s="1155"/>
      <c r="T285" s="1155"/>
      <c r="U285" s="540"/>
      <c r="V285" s="1155"/>
      <c r="W285" s="1155"/>
      <c r="X285" s="1155"/>
      <c r="Y285" s="1155"/>
      <c r="Z285" s="1155"/>
      <c r="AA285" s="1657"/>
      <c r="AB285" s="562"/>
      <c r="AC285" s="562"/>
      <c r="AD285" s="562"/>
      <c r="AE285" s="562"/>
    </row>
    <row s="1666" customFormat="1" customHeight="1" ht="11.25">
      <c r="A286" s="982"/>
      <c r="B286" s="1661"/>
      <c r="C286" s="1661"/>
      <c r="D286" s="339"/>
      <c r="K286" s="1155"/>
      <c r="L286" s="1661"/>
      <c r="M286" s="1661"/>
      <c r="N286" s="1155"/>
      <c r="O286" s="1155"/>
      <c r="P286" s="1155"/>
      <c r="Q286" s="1155"/>
      <c r="R286" s="1661"/>
      <c r="S286" s="1155"/>
      <c r="T286" s="1155"/>
      <c r="U286" s="540"/>
      <c r="V286" s="1155"/>
      <c r="W286" s="1155"/>
      <c r="X286" s="1155"/>
      <c r="Y286" s="1155"/>
      <c r="Z286" s="1155"/>
      <c r="AA286" s="1657"/>
      <c r="AB286" s="562"/>
      <c r="AC286" s="562"/>
      <c r="AD286" s="562"/>
      <c r="AE286" s="562"/>
    </row>
    <row s="1666" customFormat="1" customHeight="1" ht="11.25">
      <c r="A287" s="982"/>
      <c r="B287" s="1661"/>
      <c r="C287" s="1661"/>
      <c r="D287" s="339"/>
      <c r="K287" s="1155"/>
      <c r="L287" s="1661"/>
      <c r="M287" s="1661"/>
      <c r="N287" s="1155"/>
      <c r="O287" s="1155"/>
      <c r="P287" s="1155"/>
      <c r="Q287" s="1155"/>
      <c r="R287" s="1661"/>
      <c r="S287" s="1155"/>
      <c r="T287" s="1155"/>
      <c r="U287" s="540"/>
      <c r="V287" s="1155"/>
      <c r="W287" s="1155"/>
      <c r="X287" s="1155"/>
      <c r="Y287" s="1155"/>
      <c r="Z287" s="1155"/>
      <c r="AA287" s="1657"/>
      <c r="AB287" s="562"/>
      <c r="AC287" s="562"/>
      <c r="AD287" s="562"/>
      <c r="AE287" s="562"/>
    </row>
    <row s="1666" customFormat="1" customHeight="1" ht="11.25">
      <c r="A288" s="982"/>
      <c r="B288" s="1661"/>
      <c r="C288" s="1661"/>
      <c r="D288" s="339"/>
      <c r="K288" s="1155"/>
      <c r="L288" s="1661"/>
      <c r="M288" s="1661"/>
      <c r="N288" s="1155"/>
      <c r="O288" s="1155"/>
      <c r="P288" s="1155"/>
      <c r="Q288" s="1155"/>
      <c r="R288" s="1661"/>
      <c r="S288" s="1155"/>
      <c r="T288" s="1155"/>
      <c r="U288" s="540"/>
      <c r="V288" s="1155"/>
      <c r="W288" s="1155"/>
      <c r="X288" s="1155"/>
      <c r="Y288" s="1155"/>
      <c r="Z288" s="1155"/>
      <c r="AA288" s="1657"/>
      <c r="AB288" s="562"/>
      <c r="AC288" s="562"/>
      <c r="AD288" s="562"/>
      <c r="AE288" s="562"/>
    </row>
    <row r="292" customHeight="1" ht="11.25">
      <c r="A292" s="985"/>
      <c r="B292" s="1656"/>
      <c r="D292" s="1656"/>
      <c r="K292" s="1656"/>
      <c r="N292" s="1656"/>
      <c r="O292" s="1656"/>
      <c r="P292" s="1656"/>
      <c r="Q292" s="1656"/>
      <c r="S292" s="1656"/>
      <c r="T292" s="1656"/>
      <c r="U292" s="1656"/>
      <c r="V292" s="1656"/>
      <c r="W292" s="1656"/>
      <c r="X292" s="1656"/>
      <c r="Y292" s="1656"/>
      <c r="Z292" s="1656"/>
      <c r="AA292" s="1656"/>
      <c r="AB292" s="1656"/>
      <c r="AC292" s="1656"/>
      <c r="AD292" s="1656"/>
      <c r="AE292" s="1656"/>
    </row>
    <row customHeight="1" ht="11.25">
      <c r="A293" s="985"/>
      <c r="B293" s="1656"/>
      <c r="D293" s="1656"/>
      <c r="K293" s="1656"/>
      <c r="N293" s="1656"/>
      <c r="O293" s="1656"/>
      <c r="P293" s="1656"/>
      <c r="Q293" s="1656"/>
      <c r="S293" s="1656"/>
      <c r="T293" s="1656"/>
      <c r="U293" s="1656"/>
      <c r="V293" s="1656"/>
      <c r="W293" s="1656"/>
      <c r="X293" s="1656"/>
      <c r="Y293" s="1656"/>
      <c r="Z293" s="1656"/>
      <c r="AA293" s="1656"/>
      <c r="AB293" s="1656"/>
      <c r="AC293" s="1656"/>
      <c r="AD293" s="1656"/>
      <c r="AE293" s="1656"/>
    </row>
    <row customHeight="1" ht="11.25">
      <c r="A294" s="985"/>
      <c r="B294" s="1656"/>
      <c r="D294" s="1656"/>
      <c r="K294" s="1656"/>
      <c r="N294" s="1656"/>
      <c r="O294" s="1656"/>
      <c r="P294" s="1656"/>
      <c r="Q294" s="1656"/>
      <c r="S294" s="1656"/>
      <c r="T294" s="1656"/>
      <c r="U294" s="1656"/>
      <c r="V294" s="1656"/>
      <c r="W294" s="1656"/>
      <c r="X294" s="1656"/>
      <c r="Y294" s="1656"/>
      <c r="Z294" s="1656"/>
      <c r="AA294" s="1656"/>
      <c r="AB294" s="1656"/>
      <c r="AC294" s="1656"/>
      <c r="AD294" s="1656"/>
      <c r="AE294" s="1656"/>
    </row>
    <row customHeight="1" ht="11.25">
      <c r="A295" s="985"/>
      <c r="B295" s="1656"/>
      <c r="D295" s="1656"/>
      <c r="K295" s="1656"/>
      <c r="N295" s="1656"/>
      <c r="O295" s="1656"/>
      <c r="P295" s="1656"/>
      <c r="Q295" s="1656"/>
      <c r="S295" s="1656"/>
      <c r="T295" s="1656"/>
      <c r="U295" s="1656"/>
      <c r="V295" s="1656"/>
      <c r="W295" s="1656"/>
      <c r="X295" s="1656"/>
      <c r="Y295" s="1656"/>
      <c r="Z295" s="1656"/>
      <c r="AA295" s="1656"/>
      <c r="AB295" s="1656"/>
      <c r="AC295" s="1656"/>
      <c r="AD295" s="1656"/>
      <c r="AE295" s="1656"/>
    </row>
    <row customHeight="1" ht="11.25">
      <c r="A296" s="985"/>
      <c r="B296" s="1656"/>
      <c r="D296" s="1656"/>
      <c r="K296" s="1656"/>
      <c r="N296" s="1656"/>
      <c r="O296" s="1656"/>
      <c r="P296" s="1656"/>
      <c r="Q296" s="1656"/>
      <c r="S296" s="1656"/>
      <c r="T296" s="1656"/>
      <c r="U296" s="1656"/>
      <c r="V296" s="1656"/>
      <c r="W296" s="1656"/>
      <c r="X296" s="1656"/>
      <c r="Y296" s="1656"/>
      <c r="Z296" s="1656"/>
      <c r="AA296" s="1656"/>
      <c r="AB296" s="1656"/>
      <c r="AC296" s="1656"/>
      <c r="AD296" s="1656"/>
      <c r="AE296" s="1656"/>
    </row>
    <row customHeight="1" ht="11.25">
      <c r="A297" s="985"/>
      <c r="B297" s="1656"/>
      <c r="D297" s="1656"/>
      <c r="K297" s="1656"/>
      <c r="N297" s="1656"/>
      <c r="O297" s="1656"/>
      <c r="P297" s="1656"/>
      <c r="Q297" s="1656"/>
      <c r="S297" s="1656"/>
      <c r="T297" s="1656"/>
      <c r="U297" s="1656"/>
      <c r="V297" s="1656"/>
      <c r="W297" s="1656"/>
      <c r="X297" s="1656"/>
      <c r="Y297" s="1656"/>
      <c r="Z297" s="1656"/>
      <c r="AA297" s="1656"/>
      <c r="AB297" s="1656"/>
      <c r="AC297" s="1656"/>
      <c r="AD297" s="1656"/>
      <c r="AE297" s="1656"/>
    </row>
    <row customHeight="1" ht="11.25">
      <c r="A298" s="985"/>
      <c r="B298" s="1656"/>
      <c r="D298" s="1656"/>
      <c r="K298" s="1656"/>
      <c r="N298" s="1656"/>
      <c r="O298" s="1656"/>
      <c r="P298" s="1656"/>
      <c r="Q298" s="1656"/>
      <c r="S298" s="1656"/>
      <c r="T298" s="1656"/>
      <c r="U298" s="1656"/>
      <c r="V298" s="1656"/>
      <c r="W298" s="1656"/>
      <c r="X298" s="1656"/>
      <c r="Y298" s="1656"/>
      <c r="Z298" s="1656"/>
      <c r="AA298" s="1656"/>
      <c r="AB298" s="1656"/>
      <c r="AC298" s="1656"/>
      <c r="AD298" s="1656"/>
      <c r="AE298" s="1656"/>
    </row>
    <row customHeight="1" ht="11.25">
      <c r="A299" s="985"/>
      <c r="B299" s="1656"/>
      <c r="D299" s="1656"/>
      <c r="K299" s="1656"/>
      <c r="N299" s="1656"/>
      <c r="O299" s="1656"/>
      <c r="P299" s="1656"/>
      <c r="Q299" s="1656"/>
      <c r="S299" s="1656"/>
      <c r="T299" s="1656"/>
      <c r="U299" s="1656"/>
      <c r="V299" s="1656"/>
      <c r="W299" s="1656"/>
      <c r="X299" s="1656"/>
      <c r="Y299" s="1656"/>
      <c r="Z299" s="1656"/>
      <c r="AA299" s="1656"/>
      <c r="AB299" s="1656"/>
      <c r="AC299" s="1656"/>
      <c r="AD299" s="1656"/>
      <c r="AE299" s="1656"/>
    </row>
    <row customHeight="1" ht="11.25">
      <c r="A300" s="985"/>
      <c r="B300" s="1656"/>
      <c r="D300" s="1656"/>
      <c r="K300" s="1656"/>
      <c r="N300" s="1656"/>
      <c r="O300" s="1656"/>
      <c r="P300" s="1656"/>
      <c r="Q300" s="1656"/>
      <c r="S300" s="1656"/>
      <c r="T300" s="1656"/>
      <c r="U300" s="1656"/>
      <c r="V300" s="1656"/>
      <c r="W300" s="1656"/>
      <c r="X300" s="1656"/>
      <c r="Y300" s="1656"/>
      <c r="Z300" s="1656"/>
      <c r="AA300" s="1656"/>
      <c r="AB300" s="1656"/>
      <c r="AC300" s="1656"/>
      <c r="AD300" s="1656"/>
      <c r="AE300" s="1656"/>
    </row>
    <row customHeight="1" ht="11.25">
      <c r="A301" s="985"/>
      <c r="B301" s="1656"/>
      <c r="D301" s="1656"/>
      <c r="K301" s="1656"/>
      <c r="N301" s="1656"/>
      <c r="O301" s="1656"/>
      <c r="P301" s="1656"/>
      <c r="Q301" s="1656"/>
      <c r="S301" s="1656"/>
      <c r="T301" s="1656"/>
      <c r="U301" s="1656"/>
      <c r="V301" s="1656"/>
      <c r="W301" s="1656"/>
      <c r="X301" s="1656"/>
      <c r="Y301" s="1656"/>
      <c r="Z301" s="1656"/>
      <c r="AA301" s="1656"/>
      <c r="AB301" s="1656"/>
      <c r="AC301" s="1656"/>
      <c r="AD301" s="1656"/>
      <c r="AE301" s="1656"/>
    </row>
    <row customHeight="1" ht="11.25">
      <c r="A302" s="985"/>
      <c r="B302" s="1656"/>
      <c r="D302" s="1656"/>
      <c r="K302" s="1656"/>
      <c r="N302" s="1656"/>
      <c r="O302" s="1656"/>
      <c r="P302" s="1656"/>
      <c r="Q302" s="1656"/>
      <c r="S302" s="1656"/>
      <c r="T302" s="1656"/>
      <c r="U302" s="1656"/>
      <c r="V302" s="1656"/>
      <c r="W302" s="1656"/>
      <c r="X302" s="1656"/>
      <c r="Y302" s="1656"/>
      <c r="Z302" s="1656"/>
      <c r="AA302" s="1656"/>
      <c r="AB302" s="1656"/>
      <c r="AC302" s="1656"/>
      <c r="AD302" s="1656"/>
      <c r="AE302" s="1656"/>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D2EA26-BEB5-4FD7-70CA-D87318C88A08}"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938" width="14.7109375" hidden="1" customWidth="1"/>
    <col min="2" max="2" style="1657" width="17.00390625" hidden="1" customWidth="1"/>
    <col min="3" max="3" style="1660" width="3.7109375" customWidth="1"/>
    <col min="4" max="4" style="1660" width="1.8515625" hidden="1" customWidth="1"/>
    <col min="5" max="6" style="1660" width="7.7109375" customWidth="1"/>
    <col min="7" max="7" style="1660" width="29.7109375" customWidth="1"/>
    <col min="8" max="8" style="1660" width="3.7109375" customWidth="1"/>
    <col min="9" max="9" style="1660" width="5.421875" customWidth="1"/>
    <col min="10" max="10" style="1660" width="24.57421875" customWidth="1"/>
    <col min="11" max="11" style="1660" width="24.421875" customWidth="1"/>
    <col min="12" max="12" style="1660" width="3.7109375" customWidth="1"/>
    <col min="13" max="13" style="1660" width="6.28125" customWidth="1"/>
    <col min="14" max="14" style="1660" width="25.8515625" customWidth="1"/>
    <col min="15" max="18" style="1660" width="18.7109375" customWidth="1"/>
    <col min="19" max="19" style="1660" width="93.421875" customWidth="1"/>
    <col min="20" max="20" style="1660" width="10.57421875" customWidth="1"/>
    <col min="21" max="21" style="1667" width="10.57421875" customWidth="1"/>
    <col min="22" max="22" style="1667" width="11.7109375" customWidth="1"/>
    <col min="23" max="27" style="1657" width="10.57421875" customWidth="1"/>
    <col min="28" max="83" style="1660" width="9.140625"/>
  </cols>
  <sheetData>
    <row customHeight="1" ht="11.25" hidden="1"/>
    <row customHeight="1" ht="11.25" hidden="1"/>
    <row customHeight="1" ht="11.25" hidden="1"/>
    <row customHeight="1" ht="3">
      <c r="C4" s="505"/>
      <c r="D4" s="505"/>
      <c r="E4" s="505"/>
      <c r="F4" s="505"/>
      <c r="G4" s="505"/>
      <c r="H4" s="505"/>
      <c r="I4" s="505"/>
      <c r="J4" s="505"/>
      <c r="K4" s="146"/>
      <c r="L4" s="146"/>
      <c r="M4" s="146"/>
    </row>
    <row customHeight="1" ht="28.5">
      <c r="C5" s="505"/>
      <c r="D5" s="1052"/>
      <c r="E5" s="2067" t="str">
        <f>FHD20_NAME_FORM</f>
        <v>Форма 11. Информация о расходах на капитальный и текущий ремонт основных средств</v>
      </c>
      <c r="F5" s="2067"/>
      <c r="G5" s="2067"/>
      <c r="H5" s="2067"/>
      <c r="I5" s="2067"/>
      <c r="J5" s="2067"/>
      <c r="K5" s="2067"/>
      <c r="L5" s="609"/>
      <c r="M5" s="609"/>
    </row>
    <row s="1660" customFormat="1" customHeight="1" ht="16.5">
      <c r="A6" s="606"/>
      <c r="B6" s="754"/>
      <c r="C6" s="505"/>
      <c r="D6" s="1053"/>
      <c r="E6" s="2035" t="str">
        <f>IF(org=0,"Не определено",org)</f>
        <v>ООО "ПРОМ ИМПУЛЬС"</v>
      </c>
      <c r="F6" s="2035"/>
      <c r="G6" s="2035"/>
      <c r="H6" s="2035"/>
      <c r="I6" s="2035"/>
      <c r="J6" s="2035"/>
      <c r="K6" s="2035"/>
      <c r="L6" s="609"/>
      <c r="M6" s="609"/>
      <c r="U6" s="607"/>
      <c r="V6" s="607"/>
      <c r="W6" s="608"/>
      <c r="X6" s="754"/>
      <c r="Y6" s="754"/>
      <c r="Z6" s="754"/>
      <c r="AA6" s="754"/>
    </row>
    <row customHeight="1" ht="11.25">
      <c r="C7" s="505"/>
      <c r="D7" s="505"/>
      <c r="E7" s="505"/>
      <c r="F7" s="505"/>
      <c r="G7" s="518"/>
      <c r="H7" s="518"/>
      <c r="I7" s="518"/>
      <c r="J7" s="518"/>
      <c r="K7" s="610"/>
      <c r="L7" s="610"/>
      <c r="M7" s="610"/>
      <c r="R7" s="747"/>
    </row>
    <row s="1666" customFormat="1" customHeight="1" ht="5.25">
      <c r="A8" s="617"/>
      <c r="B8" s="562"/>
      <c r="C8" s="339"/>
      <c r="D8" s="339"/>
      <c r="E8" s="339"/>
      <c r="F8" s="339"/>
      <c r="G8" s="970"/>
      <c r="H8" s="970"/>
      <c r="I8" s="970"/>
      <c r="J8" s="970"/>
      <c r="K8" s="1013"/>
      <c r="L8" s="1013"/>
      <c r="M8" s="1013"/>
      <c r="R8" s="1014"/>
      <c r="U8" s="607"/>
      <c r="V8" s="607"/>
      <c r="W8" s="618"/>
      <c r="X8" s="562"/>
      <c r="Y8" s="562"/>
      <c r="Z8" s="562"/>
      <c r="AA8" s="562"/>
    </row>
    <row customHeight="1" ht="18.75">
      <c r="D9" s="270"/>
      <c r="E9" s="1937" t="s">
        <v>305</v>
      </c>
      <c r="F9" s="1938"/>
      <c r="G9" s="1938"/>
      <c r="H9" s="1938"/>
      <c r="I9" s="1938"/>
      <c r="J9" s="1938"/>
      <c r="K9" s="1938"/>
      <c r="L9" s="1938"/>
      <c r="M9" s="1938"/>
      <c r="N9" s="1938"/>
      <c r="O9" s="1938"/>
      <c r="P9" s="1938"/>
      <c r="Q9" s="1938"/>
      <c r="R9" s="1939"/>
      <c r="S9" s="1953" t="s">
        <v>306</v>
      </c>
      <c r="T9" s="322"/>
    </row>
    <row customHeight="1" ht="33.75">
      <c r="D10" s="547" t="s">
        <v>87</v>
      </c>
      <c r="E10" s="1953" t="s">
        <v>87</v>
      </c>
      <c r="F10" s="1953"/>
      <c r="G10" s="517" t="s">
        <v>307</v>
      </c>
      <c r="H10" s="1953" t="s">
        <v>87</v>
      </c>
      <c r="I10" s="1953"/>
      <c r="J10" s="517" t="s">
        <v>601</v>
      </c>
      <c r="K10" s="517" t="s">
        <v>602</v>
      </c>
      <c r="L10" s="1953" t="s">
        <v>87</v>
      </c>
      <c r="M10" s="1953"/>
      <c r="N10" s="517" t="s">
        <v>603</v>
      </c>
      <c r="O10" s="517" t="s">
        <v>604</v>
      </c>
      <c r="P10" s="517" t="s">
        <v>605</v>
      </c>
      <c r="Q10" s="517" t="s">
        <v>606</v>
      </c>
      <c r="R10" s="517" t="s">
        <v>607</v>
      </c>
      <c r="S10" s="1953"/>
      <c r="T10" s="322"/>
    </row>
    <row s="1667" customFormat="1" customHeight="1" ht="15" hidden="1">
      <c r="A11" s="1047"/>
      <c r="D11" s="1020" t="s">
        <v>108</v>
      </c>
      <c r="E11" s="1020"/>
      <c r="F11" s="1020" t="s">
        <v>109</v>
      </c>
      <c r="G11" s="1020" t="s">
        <v>89</v>
      </c>
      <c r="H11" s="1020"/>
      <c r="I11" s="1020" t="s">
        <v>90</v>
      </c>
      <c r="J11" s="1020" t="s">
        <v>110</v>
      </c>
      <c r="K11" s="1020" t="s">
        <v>91</v>
      </c>
      <c r="L11" s="1020"/>
      <c r="M11" s="1020" t="s">
        <v>92</v>
      </c>
      <c r="N11" s="1020" t="s">
        <v>111</v>
      </c>
      <c r="O11" s="1020" t="s">
        <v>98</v>
      </c>
      <c r="P11" s="1020" t="s">
        <v>147</v>
      </c>
      <c r="Q11" s="1020" t="s">
        <v>148</v>
      </c>
      <c r="R11" s="1020" t="s">
        <v>149</v>
      </c>
      <c r="S11" s="1020" t="s">
        <v>150</v>
      </c>
      <c r="U11" s="607"/>
      <c r="V11" s="607"/>
      <c r="W11" s="607"/>
    </row>
    <row s="1660" customFormat="1" customHeight="1" ht="0.75">
      <c r="A12" s="611"/>
      <c r="B12" s="352"/>
      <c r="D12" s="544"/>
      <c r="E12" s="334"/>
      <c r="F12" s="334"/>
      <c r="Q12" s="612"/>
      <c r="R12" s="613"/>
      <c r="T12" s="614"/>
      <c r="U12" s="615"/>
      <c r="V12" s="615"/>
      <c r="W12" s="616"/>
      <c r="X12" s="352"/>
      <c r="Y12" s="352"/>
      <c r="Z12" s="352"/>
      <c r="AA12" s="352"/>
    </row>
    <row s="1666" customFormat="1" customHeight="1" ht="0.75">
      <c r="A13" s="617"/>
      <c r="B13" s="562"/>
      <c r="D13" s="544" t="s">
        <v>383</v>
      </c>
      <c r="E13" s="556"/>
      <c r="F13" s="556"/>
      <c r="G13" s="556"/>
      <c r="H13" s="556"/>
      <c r="I13" s="556"/>
      <c r="J13" s="556"/>
      <c r="K13" s="556"/>
      <c r="L13" s="556"/>
      <c r="M13" s="556"/>
      <c r="N13" s="556"/>
      <c r="O13" s="556"/>
      <c r="P13" s="556"/>
      <c r="Q13" s="556"/>
      <c r="R13" s="556"/>
      <c r="T13" s="322"/>
      <c r="U13" s="607"/>
      <c r="V13" s="607"/>
      <c r="W13" s="618"/>
      <c r="X13" s="562"/>
      <c r="Y13" s="562"/>
      <c r="Z13" s="562"/>
      <c r="AA13" s="562"/>
    </row>
    <row s="2437" customFormat="1" customHeight="1" ht="15" hidden="1">
      <c r="A14" s="619" t="s">
        <v>116</v>
      </c>
      <c r="B14" s="0"/>
      <c r="C14" s="0"/>
      <c r="D14" s="2199" t="s">
        <v>108</v>
      </c>
      <c r="E14" s="2207" t="s">
        <v>104</v>
      </c>
      <c r="F14" s="2208"/>
      <c r="G14" s="2209"/>
      <c r="H14" s="2202">
        <f>IF(A14="","",INDEX(DIFFERENTIATION_UNMERGE_VD,MATCH(A14,DIFFERENTIATION_ID_DIFF,0)))</f>
        <v>0</v>
      </c>
      <c r="I14" s="2202"/>
      <c r="J14" s="2202"/>
      <c r="K14" s="2202"/>
      <c r="L14" s="2202"/>
      <c r="M14" s="2202"/>
      <c r="N14" s="2202"/>
      <c r="O14" s="2202"/>
      <c r="P14" s="2202"/>
      <c r="Q14" s="2202"/>
      <c r="R14" s="2202"/>
      <c r="S14" s="714"/>
      <c r="T14" s="711"/>
      <c r="U14" s="620"/>
      <c r="V14" s="620"/>
      <c r="W14" s="621"/>
      <c r="X14" s="621"/>
      <c r="Y14" s="621"/>
      <c r="Z14" s="621"/>
      <c r="AA14" s="622"/>
      <c r="AB14" s="623"/>
      <c r="AC14" s="2206"/>
      <c r="AD14" s="624"/>
      <c r="AE14" s="625" t="s">
        <v>24</v>
      </c>
      <c r="AF14" s="625"/>
      <c r="AG14" s="626" t="s">
        <v>608</v>
      </c>
      <c r="AH14" s="627">
        <v>3</v>
      </c>
      <c r="AI14" s="620"/>
      <c r="AJ14" s="620"/>
      <c r="AK14" s="620"/>
      <c r="AL14" s="620"/>
      <c r="AM14" s="620"/>
      <c r="AN14" s="620"/>
      <c r="AO14" s="620"/>
      <c r="AP14" s="620"/>
      <c r="AQ14" s="620"/>
      <c r="AR14" s="620"/>
      <c r="AS14" s="620"/>
      <c r="AT14" s="620"/>
      <c r="AU14" s="620"/>
      <c r="AV14" s="620"/>
      <c r="AW14" s="620"/>
      <c r="AX14" s="620"/>
      <c r="AY14" s="620"/>
      <c r="AZ14" s="620"/>
      <c r="BA14" s="620"/>
      <c r="BB14" s="620"/>
      <c r="BC14" s="620"/>
      <c r="BD14" s="620"/>
      <c r="BE14" s="620"/>
      <c r="BF14" s="620"/>
      <c r="BG14" s="620"/>
      <c r="BH14" s="620"/>
      <c r="BI14" s="620"/>
      <c r="BJ14" s="620"/>
      <c r="BK14" s="620"/>
      <c r="BL14" s="620"/>
      <c r="BM14" s="620"/>
      <c r="BN14" s="620"/>
      <c r="BO14" s="620"/>
      <c r="BP14" s="620"/>
      <c r="BQ14" s="620"/>
      <c r="BR14" s="620"/>
      <c r="BS14" s="620"/>
      <c r="BT14" s="620"/>
      <c r="BU14" s="620"/>
      <c r="BV14" s="621"/>
      <c r="BW14" s="621"/>
      <c r="BX14" s="621"/>
      <c r="BY14" s="621"/>
      <c r="BZ14" s="621"/>
      <c r="CA14" s="621"/>
      <c r="CB14" s="621"/>
      <c r="CC14" s="621"/>
      <c r="CD14" s="621"/>
      <c r="CE14" s="621"/>
    </row>
    <row s="2437" customFormat="1" customHeight="1" ht="15" hidden="1">
      <c r="A15" s="619"/>
      <c r="B15" s="0"/>
      <c r="C15" s="0"/>
      <c r="D15" s="2200"/>
      <c r="E15" s="2207" t="s">
        <v>563</v>
      </c>
      <c r="F15" s="2208"/>
      <c r="G15" s="2209"/>
      <c r="H15" s="2202" t="str">
        <f>IF(A14="","",INDEX(DIFFERENTIATION_UNMERGE_AREA,MATCH(A14,DIFFERENTIATION_ID_DIFF,0)))</f>
        <v/>
      </c>
      <c r="I15" s="2202"/>
      <c r="J15" s="2202"/>
      <c r="K15" s="2202"/>
      <c r="L15" s="2202"/>
      <c r="M15" s="2202"/>
      <c r="N15" s="2202"/>
      <c r="O15" s="2202"/>
      <c r="P15" s="2202"/>
      <c r="Q15" s="2202"/>
      <c r="R15" s="2202"/>
      <c r="S15" s="714"/>
      <c r="T15" s="711"/>
      <c r="U15" s="620"/>
      <c r="V15" s="620"/>
      <c r="W15" s="621"/>
      <c r="X15" s="621"/>
      <c r="Y15" s="621"/>
      <c r="Z15" s="621"/>
      <c r="AA15" s="622"/>
      <c r="AB15" s="623"/>
      <c r="AC15" s="2206"/>
      <c r="AD15" s="624"/>
      <c r="AE15" s="625"/>
      <c r="AF15" s="625"/>
      <c r="AG15" s="626"/>
      <c r="AH15" s="627"/>
      <c r="AI15" s="620"/>
      <c r="AJ15" s="620"/>
      <c r="AK15" s="620"/>
      <c r="AL15" s="620"/>
      <c r="AM15" s="620"/>
      <c r="AN15" s="620"/>
      <c r="AO15" s="620"/>
      <c r="AP15" s="620"/>
      <c r="AQ15" s="620"/>
      <c r="AR15" s="620"/>
      <c r="AS15" s="620"/>
      <c r="AT15" s="620"/>
      <c r="AU15" s="620"/>
      <c r="AV15" s="620"/>
      <c r="AW15" s="620"/>
      <c r="AX15" s="620"/>
      <c r="AY15" s="620"/>
      <c r="AZ15" s="620"/>
      <c r="BA15" s="620"/>
      <c r="BB15" s="620"/>
      <c r="BC15" s="620"/>
      <c r="BD15" s="620"/>
      <c r="BE15" s="620"/>
      <c r="BF15" s="620"/>
      <c r="BG15" s="620"/>
      <c r="BH15" s="620"/>
      <c r="BI15" s="620"/>
      <c r="BJ15" s="620"/>
      <c r="BK15" s="620"/>
      <c r="BL15" s="620"/>
      <c r="BM15" s="620"/>
      <c r="BN15" s="620"/>
      <c r="BO15" s="620"/>
      <c r="BP15" s="620"/>
      <c r="BQ15" s="620"/>
      <c r="BR15" s="620"/>
      <c r="BS15" s="620"/>
      <c r="BT15" s="620"/>
      <c r="BU15" s="620"/>
      <c r="BV15" s="621"/>
      <c r="BW15" s="621"/>
      <c r="BX15" s="621"/>
      <c r="BY15" s="621"/>
      <c r="BZ15" s="621"/>
      <c r="CA15" s="621"/>
      <c r="CB15" s="621"/>
      <c r="CC15" s="621"/>
      <c r="CD15" s="621"/>
      <c r="CE15" s="621"/>
    </row>
    <row s="2437" customFormat="1" customHeight="1" ht="15" hidden="1">
      <c r="A16" s="619"/>
      <c r="B16" s="0"/>
      <c r="C16" s="0"/>
      <c r="D16" s="2200"/>
      <c r="E16" s="2207" t="s">
        <v>564</v>
      </c>
      <c r="F16" s="2208"/>
      <c r="G16" s="2209"/>
      <c r="H16" s="2202" t="str">
        <f>IF(A14="","",INDEX(DIFFERENTIATION_UNMERGE_SYSTEM,MATCH(A14,DIFFERENTIATION_ID_DIFF,0)))</f>
        <v>без дифференциации</v>
      </c>
      <c r="I16" s="2202"/>
      <c r="J16" s="2202"/>
      <c r="K16" s="2202"/>
      <c r="L16" s="2202"/>
      <c r="M16" s="2202"/>
      <c r="N16" s="2202"/>
      <c r="O16" s="2202"/>
      <c r="P16" s="2202"/>
      <c r="Q16" s="2202"/>
      <c r="R16" s="2202"/>
      <c r="S16" s="714"/>
      <c r="T16" s="711"/>
      <c r="U16" s="620"/>
      <c r="V16" s="620"/>
      <c r="W16" s="621"/>
      <c r="X16" s="621"/>
      <c r="Y16" s="621"/>
      <c r="Z16" s="621"/>
      <c r="AA16" s="622"/>
      <c r="AB16" s="623"/>
      <c r="AC16" s="2206"/>
      <c r="AD16" s="624"/>
      <c r="AE16" s="625"/>
      <c r="AF16" s="625"/>
      <c r="AG16" s="626"/>
      <c r="AH16" s="627"/>
      <c r="AI16" s="620"/>
      <c r="AJ16" s="620"/>
      <c r="AK16" s="620"/>
      <c r="AL16" s="620"/>
      <c r="AM16" s="620"/>
      <c r="AN16" s="620"/>
      <c r="AO16" s="620"/>
      <c r="AP16" s="620"/>
      <c r="AQ16" s="620"/>
      <c r="AR16" s="620"/>
      <c r="AS16" s="620"/>
      <c r="AT16" s="620"/>
      <c r="AU16" s="620"/>
      <c r="AV16" s="620"/>
      <c r="AW16" s="620"/>
      <c r="AX16" s="620"/>
      <c r="AY16" s="620"/>
      <c r="AZ16" s="620"/>
      <c r="BA16" s="620"/>
      <c r="BB16" s="620"/>
      <c r="BC16" s="620"/>
      <c r="BD16" s="620"/>
      <c r="BE16" s="620"/>
      <c r="BF16" s="620"/>
      <c r="BG16" s="620"/>
      <c r="BH16" s="620"/>
      <c r="BI16" s="620"/>
      <c r="BJ16" s="620"/>
      <c r="BK16" s="620"/>
      <c r="BL16" s="620"/>
      <c r="BM16" s="620"/>
      <c r="BN16" s="620"/>
      <c r="BO16" s="620"/>
      <c r="BP16" s="620"/>
      <c r="BQ16" s="620"/>
      <c r="BR16" s="620"/>
      <c r="BS16" s="620"/>
      <c r="BT16" s="620"/>
      <c r="BU16" s="620"/>
      <c r="BV16" s="621"/>
      <c r="BW16" s="621"/>
      <c r="BX16" s="621"/>
      <c r="BY16" s="621"/>
      <c r="BZ16" s="621"/>
      <c r="CA16" s="621"/>
      <c r="CB16" s="621"/>
      <c r="CC16" s="621"/>
      <c r="CD16" s="621"/>
      <c r="CE16" s="621"/>
    </row>
    <row s="2437" customFormat="1" customHeight="1" ht="22.5" hidden="1">
      <c r="A17" s="628"/>
      <c r="B17" s="414"/>
      <c r="C17" s="409"/>
      <c r="D17" s="2200"/>
      <c r="E17" s="2204" t="s">
        <v>609</v>
      </c>
      <c r="F17" s="2204"/>
      <c r="G17" s="2204"/>
      <c r="H17" s="2204"/>
      <c r="I17" s="2204"/>
      <c r="J17" s="2204"/>
      <c r="K17" s="2204"/>
      <c r="L17" s="2204"/>
      <c r="M17" s="2204"/>
      <c r="N17" s="2204"/>
      <c r="O17" s="2204"/>
      <c r="P17" s="2204"/>
      <c r="Q17" s="554">
        <f>SUMIF(T18:T19,"i",Q18:Q19)</f>
        <v>0</v>
      </c>
      <c r="R17" s="1012"/>
      <c r="S17" s="891" t="s">
        <v>610</v>
      </c>
      <c r="T17" s="712" t="s">
        <v>611</v>
      </c>
      <c r="U17" s="2205">
        <v>1</v>
      </c>
      <c r="V17" s="2205" t="str">
        <f>INDEX(B_FHD_FLAG_INDEX_1,1,MATCH(A14,B_FHD_FLAG_DIFFERENTIATION,0))</f>
        <v>отсутствует</v>
      </c>
      <c r="W17" s="414"/>
      <c r="X17" s="414"/>
      <c r="Y17" s="414"/>
      <c r="Z17" s="414"/>
      <c r="AA17" s="507"/>
      <c r="AB17" s="414"/>
      <c r="AC17" s="2206"/>
      <c r="AD17" s="624"/>
      <c r="AE17" s="414"/>
      <c r="AF17" s="414"/>
      <c r="AG17" s="507"/>
      <c r="AH17" s="507"/>
      <c r="AI17" s="507"/>
      <c r="AJ17" s="507"/>
      <c r="AK17" s="507"/>
      <c r="AL17" s="507"/>
      <c r="AM17" s="507"/>
      <c r="AN17" s="507"/>
      <c r="AO17" s="507"/>
      <c r="AP17" s="507"/>
      <c r="AQ17" s="507"/>
      <c r="AR17" s="507"/>
      <c r="AS17" s="507"/>
      <c r="AT17" s="507"/>
      <c r="AU17" s="507"/>
      <c r="AV17" s="507"/>
      <c r="AW17" s="507"/>
      <c r="AX17" s="507"/>
      <c r="AY17" s="507"/>
      <c r="AZ17" s="507"/>
      <c r="BA17" s="507"/>
      <c r="BB17" s="507"/>
      <c r="BC17" s="507"/>
      <c r="BD17" s="507"/>
      <c r="BE17" s="507"/>
      <c r="BF17" s="507"/>
      <c r="BG17" s="507"/>
      <c r="BH17" s="507"/>
      <c r="BI17" s="507"/>
      <c r="BJ17" s="507"/>
      <c r="BK17" s="507"/>
      <c r="BL17" s="507"/>
      <c r="BM17" s="507"/>
      <c r="BN17" s="507"/>
      <c r="BO17" s="507"/>
      <c r="BP17" s="507"/>
      <c r="BQ17" s="507"/>
      <c r="BR17" s="507"/>
      <c r="BS17" s="507"/>
      <c r="BT17" s="507"/>
      <c r="BU17" s="507"/>
      <c r="BV17" s="414"/>
      <c r="BW17" s="414"/>
      <c r="BX17" s="414"/>
      <c r="BY17" s="414"/>
      <c r="BZ17" s="414"/>
      <c r="CA17" s="414"/>
      <c r="CB17" s="414"/>
      <c r="CC17" s="414"/>
      <c r="CD17" s="414"/>
      <c r="CE17" s="414"/>
    </row>
    <row s="2437" customFormat="1" customHeight="1" ht="11.25" hidden="1">
      <c r="A18" s="629"/>
      <c r="B18" s="507"/>
      <c r="C18" s="507"/>
      <c r="D18" s="2200"/>
      <c r="E18" s="630"/>
      <c r="F18" s="630">
        <v>0</v>
      </c>
      <c r="G18" s="630"/>
      <c r="H18" s="630"/>
      <c r="I18" s="630"/>
      <c r="J18" s="630"/>
      <c r="K18" s="630"/>
      <c r="L18" s="630"/>
      <c r="M18" s="630"/>
      <c r="N18" s="630"/>
      <c r="O18" s="630"/>
      <c r="P18" s="630"/>
      <c r="Q18" s="630"/>
      <c r="R18" s="630"/>
      <c r="S18" s="631"/>
      <c r="T18" s="713"/>
      <c r="U18" s="2205"/>
      <c r="V18" s="2205"/>
      <c r="W18" s="507"/>
      <c r="X18" s="507"/>
      <c r="Y18" s="507"/>
      <c r="Z18" s="507"/>
      <c r="AA18" s="507"/>
      <c r="AB18" s="414"/>
      <c r="AC18" s="2206"/>
      <c r="AD18" s="624"/>
      <c r="AE18" s="414"/>
      <c r="AF18" s="414"/>
      <c r="AG18" s="507"/>
      <c r="AH18" s="507"/>
      <c r="AI18" s="507"/>
      <c r="AJ18" s="507"/>
      <c r="AK18" s="507"/>
      <c r="AL18" s="507"/>
      <c r="AM18" s="507"/>
      <c r="AN18" s="507"/>
      <c r="AO18" s="507"/>
      <c r="AP18" s="507"/>
      <c r="AQ18" s="507"/>
      <c r="AR18" s="507"/>
      <c r="AS18" s="507"/>
      <c r="AT18" s="507"/>
      <c r="AU18" s="507"/>
      <c r="AV18" s="507"/>
      <c r="AW18" s="507"/>
      <c r="AX18" s="507"/>
      <c r="AY18" s="507"/>
      <c r="AZ18" s="507"/>
      <c r="BA18" s="507"/>
      <c r="BB18" s="507"/>
      <c r="BC18" s="507"/>
      <c r="BD18" s="507"/>
      <c r="BE18" s="507"/>
      <c r="BF18" s="507"/>
      <c r="BG18" s="507"/>
      <c r="BH18" s="507"/>
      <c r="BI18" s="507"/>
      <c r="BJ18" s="507"/>
      <c r="BK18" s="507"/>
      <c r="BL18" s="507"/>
      <c r="BM18" s="507"/>
      <c r="BN18" s="507"/>
      <c r="BO18" s="507"/>
      <c r="BP18" s="507"/>
      <c r="BQ18" s="507"/>
      <c r="BR18" s="507"/>
      <c r="BS18" s="507"/>
      <c r="BT18" s="507"/>
      <c r="BU18" s="507"/>
      <c r="BV18" s="507"/>
      <c r="BW18" s="507"/>
      <c r="BX18" s="507"/>
      <c r="BY18" s="507"/>
      <c r="BZ18" s="507"/>
      <c r="CA18" s="507"/>
      <c r="CB18" s="507"/>
      <c r="CC18" s="507"/>
      <c r="CD18" s="507"/>
      <c r="CE18" s="507"/>
    </row>
    <row s="2437" customFormat="1" customHeight="1" ht="11.25" hidden="1">
      <c r="A19" s="628"/>
      <c r="B19" s="414"/>
      <c r="C19" s="409"/>
      <c r="D19" s="2200"/>
      <c r="E19" s="644" t="s">
        <v>24</v>
      </c>
      <c r="F19" s="645" t="s">
        <v>24</v>
      </c>
      <c r="G19" s="645" t="s">
        <v>24</v>
      </c>
      <c r="H19" s="646" t="s">
        <v>24</v>
      </c>
      <c r="I19" s="646"/>
      <c r="J19" s="646"/>
      <c r="K19" s="646"/>
      <c r="L19" s="646"/>
      <c r="M19" s="646"/>
      <c r="N19" s="646"/>
      <c r="O19" s="646"/>
      <c r="P19" s="646"/>
      <c r="Q19" s="646"/>
      <c r="R19" s="647"/>
      <c r="S19" s="1015"/>
      <c r="T19" s="713"/>
      <c r="U19" s="2205"/>
      <c r="V19" s="2205"/>
      <c r="W19" s="414"/>
      <c r="X19" s="414"/>
      <c r="Y19" s="414"/>
      <c r="Z19" s="414"/>
      <c r="AA19" s="507"/>
      <c r="AB19" s="414"/>
      <c r="AC19" s="2206"/>
      <c r="AD19" s="624"/>
      <c r="AE19" s="414"/>
      <c r="AF19" s="414"/>
      <c r="AG19" s="507"/>
      <c r="AH19" s="507"/>
      <c r="AI19" s="507"/>
      <c r="AJ19" s="507"/>
      <c r="AK19" s="507"/>
      <c r="AL19" s="507"/>
      <c r="AM19" s="507"/>
      <c r="AN19" s="507"/>
      <c r="AO19" s="507"/>
      <c r="AP19" s="507"/>
      <c r="AQ19" s="507"/>
      <c r="AR19" s="507"/>
      <c r="AS19" s="507"/>
      <c r="AT19" s="507"/>
      <c r="AU19" s="507"/>
      <c r="AV19" s="507"/>
      <c r="AW19" s="507"/>
      <c r="AX19" s="507"/>
      <c r="AY19" s="507"/>
      <c r="AZ19" s="507"/>
      <c r="BA19" s="507"/>
      <c r="BB19" s="507"/>
      <c r="BC19" s="507"/>
      <c r="BD19" s="507"/>
      <c r="BE19" s="507"/>
      <c r="BF19" s="507"/>
      <c r="BG19" s="507"/>
      <c r="BH19" s="507"/>
      <c r="BI19" s="507"/>
      <c r="BJ19" s="507"/>
      <c r="BK19" s="507"/>
      <c r="BL19" s="507"/>
      <c r="BM19" s="507"/>
      <c r="BN19" s="507"/>
      <c r="BO19" s="507"/>
      <c r="BP19" s="507"/>
      <c r="BQ19" s="507"/>
      <c r="BR19" s="507"/>
      <c r="BS19" s="507"/>
      <c r="BT19" s="507"/>
      <c r="BU19" s="507"/>
      <c r="BV19" s="414"/>
      <c r="BW19" s="414"/>
      <c r="BX19" s="414"/>
      <c r="BY19" s="414"/>
      <c r="BZ19" s="414"/>
      <c r="CA19" s="414"/>
      <c r="CB19" s="414"/>
      <c r="CC19" s="414"/>
      <c r="CD19" s="414"/>
      <c r="CE19" s="414"/>
    </row>
    <row s="2437" customFormat="1" customHeight="1" ht="22.5" hidden="1">
      <c r="A20" s="628"/>
      <c r="B20" s="414"/>
      <c r="C20" s="409"/>
      <c r="D20" s="2200"/>
      <c r="E20" s="2204" t="s">
        <v>612</v>
      </c>
      <c r="F20" s="2204"/>
      <c r="G20" s="2204"/>
      <c r="H20" s="2204"/>
      <c r="I20" s="2204"/>
      <c r="J20" s="2204"/>
      <c r="K20" s="2204"/>
      <c r="L20" s="2204"/>
      <c r="M20" s="2204"/>
      <c r="N20" s="2204"/>
      <c r="O20" s="2204"/>
      <c r="P20" s="2204"/>
      <c r="Q20" s="554">
        <f>SUMIF(T21:T22,"i",Q21:Q22)</f>
        <v>0</v>
      </c>
      <c r="R20" s="1012"/>
      <c r="S20" s="704" t="s">
        <v>613</v>
      </c>
      <c r="T20" s="712" t="s">
        <v>611</v>
      </c>
      <c r="U20" s="2205">
        <v>2</v>
      </c>
      <c r="V20" s="2205" t="str">
        <f>INDEX(B_FHD_FLAG_INDEX_2,1,MATCH(A14,B_FHD_FLAG_DIFFERENTIATION,0))</f>
        <v>отсутствует</v>
      </c>
      <c r="W20" s="414"/>
      <c r="X20" s="414"/>
      <c r="Y20" s="414"/>
      <c r="Z20" s="414"/>
      <c r="AA20" s="507"/>
      <c r="AB20" s="414"/>
      <c r="AC20" s="701"/>
      <c r="AD20" s="624"/>
      <c r="AE20" s="414"/>
      <c r="AF20" s="414"/>
      <c r="AG20" s="507"/>
      <c r="AH20" s="507"/>
      <c r="AI20" s="507"/>
      <c r="AJ20" s="507"/>
      <c r="AK20" s="507"/>
      <c r="AL20" s="507"/>
      <c r="AM20" s="507"/>
      <c r="AN20" s="507"/>
      <c r="AO20" s="507"/>
      <c r="AP20" s="507"/>
      <c r="AQ20" s="507"/>
      <c r="AR20" s="507"/>
      <c r="AS20" s="507"/>
      <c r="AT20" s="507"/>
      <c r="AU20" s="507"/>
      <c r="AV20" s="507"/>
      <c r="AW20" s="507"/>
      <c r="AX20" s="507"/>
      <c r="AY20" s="507"/>
      <c r="AZ20" s="507"/>
      <c r="BA20" s="507"/>
      <c r="BB20" s="507"/>
      <c r="BC20" s="507"/>
      <c r="BD20" s="507"/>
      <c r="BE20" s="507"/>
      <c r="BF20" s="507"/>
      <c r="BG20" s="507"/>
      <c r="BH20" s="507"/>
      <c r="BI20" s="507"/>
      <c r="BJ20" s="507"/>
      <c r="BK20" s="507"/>
      <c r="BL20" s="507"/>
      <c r="BM20" s="507"/>
      <c r="BN20" s="507"/>
      <c r="BO20" s="507"/>
      <c r="BP20" s="507"/>
      <c r="BQ20" s="507"/>
      <c r="BR20" s="507"/>
      <c r="BS20" s="507"/>
      <c r="BT20" s="507"/>
      <c r="BU20" s="507"/>
      <c r="BV20" s="414"/>
      <c r="BW20" s="414"/>
      <c r="BX20" s="414"/>
      <c r="BY20" s="414"/>
      <c r="BZ20" s="414"/>
      <c r="CA20" s="414"/>
      <c r="CB20" s="414"/>
      <c r="CC20" s="414"/>
      <c r="CD20" s="414"/>
      <c r="CE20" s="414"/>
    </row>
    <row s="2437" customFormat="1" customHeight="1" ht="11.25" hidden="1">
      <c r="A21" s="703"/>
      <c r="B21" s="507"/>
      <c r="C21" s="507"/>
      <c r="D21" s="2200"/>
      <c r="E21" s="630"/>
      <c r="F21" s="630">
        <v>0</v>
      </c>
      <c r="G21" s="630"/>
      <c r="H21" s="630"/>
      <c r="I21" s="630"/>
      <c r="J21" s="630"/>
      <c r="K21" s="630"/>
      <c r="L21" s="630"/>
      <c r="M21" s="630"/>
      <c r="N21" s="630"/>
      <c r="O21" s="630"/>
      <c r="P21" s="630"/>
      <c r="Q21" s="630"/>
      <c r="R21" s="630"/>
      <c r="S21" s="631"/>
      <c r="T21" s="713"/>
      <c r="U21" s="2205"/>
      <c r="V21" s="2205"/>
      <c r="W21" s="507"/>
      <c r="X21" s="507"/>
      <c r="Y21" s="507"/>
      <c r="Z21" s="507"/>
      <c r="AA21" s="507"/>
      <c r="AB21" s="414"/>
      <c r="AC21" s="701"/>
      <c r="AD21" s="624"/>
      <c r="AE21" s="414"/>
      <c r="AF21" s="414"/>
      <c r="AG21" s="507"/>
      <c r="AH21" s="507"/>
      <c r="AI21" s="507"/>
      <c r="AJ21" s="507"/>
      <c r="AK21" s="507"/>
      <c r="AL21" s="507"/>
      <c r="AM21" s="507"/>
      <c r="AN21" s="507"/>
      <c r="AO21" s="507"/>
      <c r="AP21" s="507"/>
      <c r="AQ21" s="507"/>
      <c r="AR21" s="507"/>
      <c r="AS21" s="507"/>
      <c r="AT21" s="507"/>
      <c r="AU21" s="507"/>
      <c r="AV21" s="507"/>
      <c r="AW21" s="507"/>
      <c r="AX21" s="507"/>
      <c r="AY21" s="507"/>
      <c r="AZ21" s="507"/>
      <c r="BA21" s="507"/>
      <c r="BB21" s="507"/>
      <c r="BC21" s="507"/>
      <c r="BD21" s="507"/>
      <c r="BE21" s="507"/>
      <c r="BF21" s="507"/>
      <c r="BG21" s="507"/>
      <c r="BH21" s="507"/>
      <c r="BI21" s="507"/>
      <c r="BJ21" s="507"/>
      <c r="BK21" s="507"/>
      <c r="BL21" s="507"/>
      <c r="BM21" s="507"/>
      <c r="BN21" s="507"/>
      <c r="BO21" s="507"/>
      <c r="BP21" s="507"/>
      <c r="BQ21" s="507"/>
      <c r="BR21" s="507"/>
      <c r="BS21" s="507"/>
      <c r="BT21" s="507"/>
      <c r="BU21" s="507"/>
      <c r="BV21" s="507"/>
      <c r="BW21" s="507"/>
      <c r="BX21" s="507"/>
      <c r="BY21" s="507"/>
      <c r="BZ21" s="507"/>
      <c r="CA21" s="507"/>
      <c r="CB21" s="507"/>
      <c r="CC21" s="507"/>
      <c r="CD21" s="507"/>
      <c r="CE21" s="507"/>
    </row>
    <row s="2437" customFormat="1" customHeight="1" ht="11.25" hidden="1">
      <c r="A22" s="628"/>
      <c r="B22" s="414"/>
      <c r="C22" s="409"/>
      <c r="D22" s="2201"/>
      <c r="E22" s="644" t="s">
        <v>24</v>
      </c>
      <c r="F22" s="645" t="s">
        <v>24</v>
      </c>
      <c r="G22" s="645" t="s">
        <v>24</v>
      </c>
      <c r="H22" s="646" t="s">
        <v>24</v>
      </c>
      <c r="I22" s="646"/>
      <c r="J22" s="646"/>
      <c r="K22" s="646"/>
      <c r="L22" s="646"/>
      <c r="M22" s="646"/>
      <c r="N22" s="646"/>
      <c r="O22" s="646"/>
      <c r="P22" s="646"/>
      <c r="Q22" s="646"/>
      <c r="R22" s="647"/>
      <c r="S22" s="1015"/>
      <c r="T22" s="713"/>
      <c r="U22" s="2205"/>
      <c r="V22" s="2205"/>
      <c r="W22" s="414"/>
      <c r="X22" s="414"/>
      <c r="Y22" s="414"/>
      <c r="Z22" s="414"/>
      <c r="AA22" s="507"/>
      <c r="AB22" s="414"/>
      <c r="AC22" s="701"/>
      <c r="AD22" s="624"/>
      <c r="AE22" s="414"/>
      <c r="AF22" s="414"/>
      <c r="AG22" s="507"/>
      <c r="AH22" s="507"/>
      <c r="AI22" s="507"/>
      <c r="AJ22" s="507"/>
      <c r="AK22" s="507"/>
      <c r="AL22" s="507"/>
      <c r="AM22" s="507"/>
      <c r="AN22" s="507"/>
      <c r="AO22" s="507"/>
      <c r="AP22" s="507"/>
      <c r="AQ22" s="507"/>
      <c r="AR22" s="507"/>
      <c r="AS22" s="507"/>
      <c r="AT22" s="507"/>
      <c r="AU22" s="507"/>
      <c r="AV22" s="507"/>
      <c r="AW22" s="507"/>
      <c r="AX22" s="507"/>
      <c r="AY22" s="507"/>
      <c r="AZ22" s="507"/>
      <c r="BA22" s="507"/>
      <c r="BB22" s="507"/>
      <c r="BC22" s="507"/>
      <c r="BD22" s="507"/>
      <c r="BE22" s="507"/>
      <c r="BF22" s="507"/>
      <c r="BG22" s="507"/>
      <c r="BH22" s="507"/>
      <c r="BI22" s="507"/>
      <c r="BJ22" s="507"/>
      <c r="BK22" s="507"/>
      <c r="BL22" s="507"/>
      <c r="BM22" s="507"/>
      <c r="BN22" s="507"/>
      <c r="BO22" s="507"/>
      <c r="BP22" s="507"/>
      <c r="BQ22" s="507"/>
      <c r="BR22" s="507"/>
      <c r="BS22" s="507"/>
      <c r="BT22" s="507"/>
      <c r="BU22" s="507"/>
      <c r="BV22" s="414"/>
      <c r="BW22" s="414"/>
      <c r="BX22" s="414"/>
      <c r="BY22" s="414"/>
      <c r="BZ22" s="414"/>
      <c r="CA22" s="414"/>
      <c r="CB22" s="414"/>
      <c r="CC22" s="414"/>
      <c r="CD22" s="414"/>
      <c r="CE22" s="414"/>
    </row>
    <row customHeight="1" ht="18.75">
      <c r="D23" s="1042"/>
      <c r="E23" s="1042"/>
      <c r="F23" s="1042"/>
      <c r="G23" s="1042"/>
      <c r="H23" s="1042"/>
      <c r="I23" s="1042"/>
      <c r="J23" s="1042"/>
      <c r="K23" s="1042"/>
      <c r="L23" s="1042"/>
      <c r="M23" s="1042"/>
      <c r="N23" s="1042"/>
      <c r="O23" s="1042"/>
      <c r="P23" s="1042"/>
      <c r="Q23" s="1042"/>
      <c r="R23" s="1042"/>
      <c r="S23" s="1042"/>
      <c r="T23" s="322"/>
    </row>
    <row customHeight="1" ht="11.25">
      <c r="D24" s="505"/>
    </row>
    <row customHeight="1" ht="11.25">
      <c r="D25" s="649"/>
      <c r="E25" s="649"/>
      <c r="F25" s="649"/>
      <c r="G25" s="650"/>
    </row>
    <row r="27" customHeight="1" ht="11.25">
      <c r="D27" s="651"/>
      <c r="E27" s="2203"/>
      <c r="F27" s="2203"/>
      <c r="G27" s="2203"/>
      <c r="H27" s="2203"/>
      <c r="I27" s="2203"/>
      <c r="J27" s="2203"/>
      <c r="K27" s="2203"/>
      <c r="L27" s="2203"/>
      <c r="M27" s="2203"/>
      <c r="N27" s="2203"/>
      <c r="O27" s="2203"/>
      <c r="P27" s="2203"/>
      <c r="Q27" s="2203"/>
      <c r="R27" s="2203"/>
    </row>
    <row customHeight="1" ht="11.25">
      <c r="F28" s="753"/>
      <c r="G28" s="753"/>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228E98-E21E-BB16-1711-910E28BC74DF}"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982" width="10.7109375" hidden="1" customWidth="1"/>
    <col min="2" max="2" style="1383" width="16.8515625" hidden="1" customWidth="1"/>
    <col min="3" max="3" style="1667" width="5.57421875" hidden="1" customWidth="1"/>
    <col min="4" max="4" style="1660" width="3.7109375" customWidth="1"/>
    <col min="5" max="5" style="1660" width="7.7109375" customWidth="1"/>
    <col min="6" max="6" style="1660" width="56.140625" customWidth="1"/>
    <col min="7" max="7" style="1660" width="10.421875" customWidth="1"/>
    <col min="8" max="8" style="1660" width="40.7109375" hidden="1" customWidth="1"/>
    <col min="9" max="9" style="1660" width="40.7109375" customWidth="1"/>
    <col min="10" max="10" style="1660" width="102.8515625" customWidth="1"/>
    <col min="11" max="11" style="1383" width="9.7109375" customWidth="1"/>
    <col min="12" max="12" style="1667" width="5.28125" customWidth="1"/>
    <col min="13" max="13" style="1667" width="3.7109375" customWidth="1"/>
    <col min="14" max="17" style="1383" width="3.7109375" customWidth="1"/>
    <col min="18" max="18" style="1667" width="10.57421875" customWidth="1"/>
    <col min="19" max="19" style="1383" width="34.7109375" customWidth="1"/>
    <col min="20" max="20" style="1383" width="9.421875" customWidth="1"/>
    <col min="21" max="21" style="731" width="9.140625"/>
    <col min="22" max="26" style="1383" width="9.140625"/>
    <col min="27" max="31" style="1657" width="9.140625"/>
  </cols>
  <sheetData>
    <row s="1383" customFormat="1" customHeight="1" ht="11.25" hidden="1">
      <c r="A1" s="982"/>
      <c r="C1" s="1661"/>
      <c r="D1" s="533"/>
      <c r="H1" s="1155">
        <v>4</v>
      </c>
      <c r="I1" s="1155">
        <v>4</v>
      </c>
      <c r="L1" s="1661"/>
      <c r="M1" s="1661"/>
      <c r="R1" s="1661"/>
    </row>
    <row s="1383" customFormat="1" customHeight="1" ht="22.5" hidden="1">
      <c r="A2" s="982"/>
      <c r="C2" s="1661"/>
      <c r="D2" s="534"/>
      <c r="E2" s="1662"/>
      <c r="F2" s="536"/>
      <c r="G2" s="1664" t="s">
        <v>551</v>
      </c>
      <c r="H2" s="537"/>
      <c r="I2" s="537"/>
      <c r="J2" s="538" t="s">
        <v>614</v>
      </c>
      <c r="K2" s="539"/>
      <c r="L2" s="1661"/>
      <c r="M2" s="1661"/>
      <c r="R2" s="1661"/>
      <c r="U2" s="540"/>
      <c r="AA2" s="1657"/>
      <c r="AB2" s="1657"/>
      <c r="AC2" s="1657"/>
      <c r="AD2" s="1657"/>
      <c r="AE2" s="1657"/>
    </row>
    <row customHeight="1" ht="11.25" hidden="1"/>
    <row s="1657" customFormat="1" customHeight="1" ht="11.25" hidden="1">
      <c r="A4" s="982"/>
      <c r="B4" s="1155"/>
      <c r="C4" s="1661"/>
      <c r="D4" s="352"/>
      <c r="J4" s="1657">
        <v>4</v>
      </c>
      <c r="K4" s="1155"/>
      <c r="L4" s="1661"/>
      <c r="M4" s="1661"/>
      <c r="N4" s="1155"/>
      <c r="O4" s="1155"/>
      <c r="P4" s="1155"/>
      <c r="Q4" s="1155"/>
      <c r="R4" s="1661"/>
      <c r="S4" s="1155"/>
      <c r="T4" s="1155"/>
      <c r="U4" s="540"/>
      <c r="V4" s="1155"/>
      <c r="W4" s="1155"/>
      <c r="X4" s="1155"/>
      <c r="Y4" s="1155"/>
      <c r="Z4" s="1155"/>
    </row>
    <row r="6" customHeight="1" ht="22.5">
      <c r="E6" s="2133" t="s">
        <v>615</v>
      </c>
      <c r="F6" s="2133"/>
      <c r="G6" s="2133"/>
      <c r="H6" s="2133"/>
      <c r="I6" s="2133"/>
      <c r="J6" s="552"/>
    </row>
    <row customHeight="1" ht="24">
      <c r="E7" s="2123" t="str">
        <f>IF(org=0,"Не определено",org)</f>
        <v>ООО "ПРОМ ИМПУЛЬС"</v>
      </c>
      <c r="F7" s="2123"/>
      <c r="G7" s="2123"/>
      <c r="H7" s="2123"/>
      <c r="I7" s="2123"/>
    </row>
    <row customHeight="1" ht="11.25">
      <c r="E8" s="1130"/>
      <c r="F8" s="1130"/>
      <c r="G8" s="1130"/>
      <c r="H8" s="1130"/>
      <c r="I8" s="1130"/>
    </row>
    <row s="1667" customFormat="1" customHeight="1" ht="0.75">
      <c r="A9" s="1162"/>
      <c r="D9" s="1667"/>
      <c r="H9" s="883"/>
      <c r="I9" s="883" t="s">
        <v>116</v>
      </c>
    </row>
    <row customHeight="1" ht="11.25">
      <c r="E10" s="706"/>
      <c r="F10" s="2195" t="s">
        <v>104</v>
      </c>
      <c r="G10" s="2196"/>
      <c r="H10" s="1579" t="str">
        <f>IF(H9="","",INDEX(DIFFERENTIATION_UNMERGE_VD,MATCH(H9,DIFFERENTIATION_ID_DIFF,0)))</f>
        <v/>
      </c>
      <c r="I10" s="1579">
        <f>IF(I9="","",INDEX(DIFFERENTIATION_UNMERGE_VD,MATCH(I9,DIFFERENTIATION_ID_DIFF,0)))</f>
        <v>0</v>
      </c>
      <c r="J10" s="1953"/>
    </row>
    <row customHeight="1" ht="11.25">
      <c r="E11" s="706"/>
      <c r="F11" s="2195" t="s">
        <v>563</v>
      </c>
      <c r="G11" s="2196"/>
      <c r="H11" s="1579" t="str">
        <f>IF(H9="","",INDEX(DIFFERENTIATION_UNMERGE_AREA,MATCH(H9,DIFFERENTIATION_ID_DIFF,0)))</f>
        <v/>
      </c>
      <c r="I11" s="1579" t="str">
        <f>IF(I9="","",INDEX(DIFFERENTIATION_UNMERGE_AREA,MATCH(I9,DIFFERENTIATION_ID_DIFF,0)))</f>
        <v/>
      </c>
      <c r="J11" s="1953"/>
    </row>
    <row customHeight="1" ht="11.25" hidden="1">
      <c r="E12" s="1687"/>
      <c r="F12" s="2210" t="s">
        <v>564</v>
      </c>
      <c r="G12" s="2211"/>
      <c r="H12" s="1688" t="str">
        <f>IF(H9="","",INDEX(DIFFERENTIATION_UNMERGE_SYSTEM,MATCH(H9,DIFFERENTIATION_ID_DIFF,0)))</f>
        <v/>
      </c>
      <c r="I12" s="1688" t="str">
        <f>IF(I9="","",INDEX(DIFFERENTIATION_UNMERGE_SYSTEM,MATCH(I9,DIFFERENTIATION_ID_DIFF,0)))</f>
        <v>без дифференциации</v>
      </c>
      <c r="J12" s="1953"/>
    </row>
    <row customHeight="1" ht="11.25">
      <c r="E13" s="2197" t="s">
        <v>305</v>
      </c>
      <c r="F13" s="2198"/>
      <c r="G13" s="2198"/>
      <c r="H13" s="1578"/>
      <c r="I13" s="1578"/>
      <c r="J13" s="1953"/>
    </row>
    <row customHeight="1" ht="22.5">
      <c r="E14" s="1664" t="s">
        <v>87</v>
      </c>
      <c r="F14" s="1659" t="s">
        <v>307</v>
      </c>
      <c r="G14" s="1659" t="s">
        <v>565</v>
      </c>
      <c r="H14" s="1659" t="s">
        <v>308</v>
      </c>
      <c r="I14" s="1659" t="s">
        <v>308</v>
      </c>
      <c r="J14" s="1953"/>
    </row>
    <row customHeight="1" ht="18.75">
      <c r="D15" s="1663"/>
      <c r="E15" s="1655" t="s">
        <v>108</v>
      </c>
      <c r="F15" s="702" t="s">
        <v>616</v>
      </c>
      <c r="G15" s="1671" t="s">
        <v>551</v>
      </c>
      <c r="H15" s="553"/>
      <c r="I15" s="553"/>
      <c r="J15" s="270" t="s">
        <v>617</v>
      </c>
      <c r="K15" s="539" t="s">
        <v>618</v>
      </c>
    </row>
    <row customHeight="1" ht="33.75">
      <c r="D16" s="1663"/>
      <c r="E16" s="1655" t="s">
        <v>109</v>
      </c>
      <c r="F16" s="702" t="s">
        <v>619</v>
      </c>
      <c r="G16" s="1671" t="s">
        <v>551</v>
      </c>
      <c r="H16" s="554">
        <f>SUM(H17,H20:H32)</f>
        <v>0</v>
      </c>
      <c r="I16" s="554">
        <f>SUM(I17,I20:I32)</f>
        <v>0</v>
      </c>
      <c r="J16" s="270" t="s">
        <v>620</v>
      </c>
      <c r="K16" s="539" t="s">
        <v>618</v>
      </c>
    </row>
    <row customHeight="1" ht="18.75">
      <c r="D17" s="1663"/>
      <c r="E17" s="1689" t="s">
        <v>621</v>
      </c>
      <c r="F17" s="949" t="s">
        <v>622</v>
      </c>
      <c r="G17" s="1668" t="s">
        <v>551</v>
      </c>
      <c r="H17" s="553"/>
      <c r="I17" s="553"/>
      <c r="J17" s="270" t="s">
        <v>623</v>
      </c>
      <c r="K17" s="539"/>
    </row>
    <row customHeight="1" ht="22.5">
      <c r="D18" s="1663"/>
      <c r="E18" s="1689" t="s">
        <v>624</v>
      </c>
      <c r="F18" s="1675" t="s">
        <v>625</v>
      </c>
      <c r="G18" s="1668" t="s">
        <v>551</v>
      </c>
      <c r="H18" s="553"/>
      <c r="I18" s="553"/>
      <c r="J18" s="270" t="s">
        <v>626</v>
      </c>
      <c r="K18" s="539"/>
    </row>
    <row customHeight="1" ht="33.75">
      <c r="D19" s="1663"/>
      <c r="E19" s="1689" t="s">
        <v>627</v>
      </c>
      <c r="F19" s="1675" t="s">
        <v>628</v>
      </c>
      <c r="G19" s="1668" t="s">
        <v>551</v>
      </c>
      <c r="H19" s="553"/>
      <c r="I19" s="553"/>
      <c r="J19" s="270"/>
      <c r="K19" s="539"/>
    </row>
    <row customHeight="1" ht="18.75">
      <c r="D20" s="1663"/>
      <c r="E20" s="1689" t="s">
        <v>312</v>
      </c>
      <c r="F20" s="949" t="s">
        <v>629</v>
      </c>
      <c r="G20" s="1668" t="s">
        <v>551</v>
      </c>
      <c r="H20" s="553"/>
      <c r="I20" s="553"/>
      <c r="J20" s="270" t="s">
        <v>630</v>
      </c>
      <c r="K20" s="539"/>
    </row>
    <row customHeight="1" ht="18.75">
      <c r="D21" s="1663"/>
      <c r="E21" s="1689" t="s">
        <v>631</v>
      </c>
      <c r="F21" s="1675" t="s">
        <v>632</v>
      </c>
      <c r="G21" s="1668" t="s">
        <v>551</v>
      </c>
      <c r="H21" s="553"/>
      <c r="I21" s="553"/>
      <c r="J21" s="270"/>
      <c r="K21" s="539"/>
    </row>
    <row customHeight="1" ht="18.75">
      <c r="D22" s="1663"/>
      <c r="E22" s="1689" t="s">
        <v>633</v>
      </c>
      <c r="F22" s="1675" t="s">
        <v>634</v>
      </c>
      <c r="G22" s="1668" t="s">
        <v>551</v>
      </c>
      <c r="H22" s="553"/>
      <c r="I22" s="553"/>
      <c r="J22" s="270"/>
      <c r="K22" s="539"/>
    </row>
    <row customHeight="1" ht="22.5">
      <c r="D23" s="1663"/>
      <c r="E23" s="1689" t="s">
        <v>315</v>
      </c>
      <c r="F23" s="949" t="s">
        <v>635</v>
      </c>
      <c r="G23" s="1668" t="s">
        <v>551</v>
      </c>
      <c r="H23" s="553"/>
      <c r="I23" s="553"/>
      <c r="J23" s="270" t="s">
        <v>636</v>
      </c>
      <c r="K23" s="539"/>
    </row>
    <row customHeight="1" ht="18.75">
      <c r="D24" s="1663"/>
      <c r="E24" s="1689" t="s">
        <v>637</v>
      </c>
      <c r="F24" s="1675" t="s">
        <v>638</v>
      </c>
      <c r="G24" s="1668" t="s">
        <v>551</v>
      </c>
      <c r="H24" s="553"/>
      <c r="I24" s="553"/>
      <c r="J24" s="270"/>
      <c r="K24" s="539"/>
    </row>
    <row customHeight="1" ht="33.75">
      <c r="D25" s="1663"/>
      <c r="E25" s="1689" t="s">
        <v>639</v>
      </c>
      <c r="F25" s="1675" t="s">
        <v>640</v>
      </c>
      <c r="G25" s="1668" t="s">
        <v>551</v>
      </c>
      <c r="H25" s="553"/>
      <c r="I25" s="553"/>
      <c r="J25" s="270"/>
      <c r="K25" s="539"/>
    </row>
    <row customHeight="1" ht="22.5">
      <c r="D26" s="1663"/>
      <c r="E26" s="1689" t="s">
        <v>641</v>
      </c>
      <c r="F26" s="949" t="s">
        <v>642</v>
      </c>
      <c r="G26" s="1668" t="s">
        <v>551</v>
      </c>
      <c r="H26" s="553"/>
      <c r="I26" s="553"/>
      <c r="J26" s="270" t="s">
        <v>643</v>
      </c>
      <c r="K26" s="539"/>
    </row>
    <row customHeight="1" ht="18.75">
      <c r="D27" s="1663"/>
      <c r="E27" s="1700" t="s">
        <v>644</v>
      </c>
      <c r="F27" s="1675" t="s">
        <v>645</v>
      </c>
      <c r="G27" s="1679" t="s">
        <v>551</v>
      </c>
      <c r="H27" s="1701"/>
      <c r="I27" s="1701"/>
      <c r="J27" s="270"/>
      <c r="K27" s="539"/>
    </row>
    <row customHeight="1" ht="18.75">
      <c r="D28" s="1663"/>
      <c r="E28" s="1700" t="s">
        <v>646</v>
      </c>
      <c r="F28" s="1675" t="s">
        <v>647</v>
      </c>
      <c r="G28" s="1679" t="s">
        <v>551</v>
      </c>
      <c r="H28" s="1701"/>
      <c r="I28" s="1701"/>
      <c r="J28" s="270"/>
      <c r="K28" s="539"/>
    </row>
    <row customHeight="1" ht="18.75">
      <c r="D29" s="1663"/>
      <c r="E29" s="1700" t="s">
        <v>648</v>
      </c>
      <c r="F29" s="949" t="s">
        <v>649</v>
      </c>
      <c r="G29" s="1679" t="s">
        <v>551</v>
      </c>
      <c r="H29" s="1701"/>
      <c r="I29" s="1701"/>
      <c r="J29" s="270"/>
      <c r="K29" s="539"/>
    </row>
    <row customHeight="1" ht="18.75">
      <c r="D30" s="1663"/>
      <c r="E30" s="1700" t="s">
        <v>650</v>
      </c>
      <c r="F30" s="949" t="s">
        <v>651</v>
      </c>
      <c r="G30" s="1679" t="s">
        <v>551</v>
      </c>
      <c r="H30" s="1701"/>
      <c r="I30" s="1701"/>
      <c r="J30" s="270"/>
      <c r="K30" s="539"/>
    </row>
    <row customHeight="1" ht="18.75">
      <c r="D31" s="1663"/>
      <c r="E31" s="1700" t="s">
        <v>652</v>
      </c>
      <c r="F31" s="949" t="s">
        <v>653</v>
      </c>
      <c r="G31" s="1679" t="s">
        <v>551</v>
      </c>
      <c r="H31" s="1701"/>
      <c r="I31" s="1701"/>
      <c r="J31" s="270"/>
      <c r="K31" s="539"/>
    </row>
    <row s="1383" customFormat="1" customHeight="1" ht="22.5">
      <c r="A32" s="982"/>
      <c r="C32" s="1661"/>
      <c r="D32" s="1663"/>
      <c r="E32" s="1700" t="s">
        <v>654</v>
      </c>
      <c r="F32" s="949" t="s">
        <v>655</v>
      </c>
      <c r="G32" s="1669" t="s">
        <v>551</v>
      </c>
      <c r="H32" s="575">
        <f>SUM(H33:H34)</f>
        <v>0</v>
      </c>
      <c r="I32" s="575">
        <f>SUM(I33:I34)</f>
        <v>0</v>
      </c>
      <c r="J32" s="270" t="s">
        <v>656</v>
      </c>
      <c r="K32" s="539"/>
      <c r="L32" s="1661"/>
      <c r="M32" s="1661"/>
      <c r="R32" s="1661"/>
      <c r="U32" s="540"/>
      <c r="AA32" s="1657"/>
      <c r="AB32" s="1657"/>
      <c r="AC32" s="1657"/>
      <c r="AD32" s="1657"/>
      <c r="AE32" s="1657"/>
    </row>
    <row s="1667" customFormat="1" customHeight="1" ht="0.75">
      <c r="A33" s="1162"/>
      <c r="D33" s="544"/>
      <c r="E33" s="796" t="str">
        <f>E32&amp;".0"</f>
        <v>2.8.0</v>
      </c>
      <c r="F33" s="986"/>
      <c r="G33" s="547"/>
      <c r="H33" s="987"/>
      <c r="I33" s="987"/>
      <c r="J33" s="988"/>
    </row>
    <row s="1383" customFormat="1" customHeight="1" ht="18.75">
      <c r="A34" s="982"/>
      <c r="C34" s="1661"/>
      <c r="D34" s="1658"/>
      <c r="E34" s="566"/>
      <c r="F34" s="1691" t="s">
        <v>576</v>
      </c>
      <c r="G34" s="568"/>
      <c r="H34" s="569"/>
      <c r="I34" s="569"/>
      <c r="J34" s="281" t="s">
        <v>657</v>
      </c>
      <c r="K34" s="539"/>
      <c r="L34" s="1661"/>
      <c r="M34" s="1661"/>
      <c r="R34" s="1661"/>
      <c r="U34" s="540"/>
      <c r="AA34" s="1657"/>
      <c r="AB34" s="1657"/>
      <c r="AC34" s="1657"/>
      <c r="AD34" s="1657"/>
      <c r="AE34" s="1657"/>
    </row>
    <row customHeight="1" ht="56.25">
      <c r="D35" s="1663"/>
      <c r="E35" s="1700" t="s">
        <v>658</v>
      </c>
      <c r="F35" s="949" t="s">
        <v>659</v>
      </c>
      <c r="G35" s="1679" t="s">
        <v>551</v>
      </c>
      <c r="H35" s="1701"/>
      <c r="I35" s="1701"/>
      <c r="J35" s="270" t="s">
        <v>660</v>
      </c>
      <c r="K35" s="539"/>
    </row>
    <row s="1383" customFormat="1" customHeight="1" ht="22.5">
      <c r="A36" s="984" t="s">
        <v>577</v>
      </c>
      <c r="C36" s="1661"/>
      <c r="D36" s="1663"/>
      <c r="E36" s="1689" t="s">
        <v>89</v>
      </c>
      <c r="F36" s="702" t="s">
        <v>661</v>
      </c>
      <c r="G36" s="1668" t="s">
        <v>551</v>
      </c>
      <c r="H36" s="553"/>
      <c r="I36" s="553"/>
      <c r="J36" s="270" t="s">
        <v>662</v>
      </c>
      <c r="K36" s="539"/>
      <c r="L36" s="1661"/>
      <c r="M36" s="1661"/>
      <c r="R36" s="1661"/>
      <c r="U36" s="540"/>
      <c r="AA36" s="1657"/>
      <c r="AB36" s="1657"/>
      <c r="AC36" s="1657"/>
      <c r="AD36" s="1657"/>
      <c r="AE36" s="1657"/>
    </row>
    <row s="1383" customFormat="1" customHeight="1" ht="22.5">
      <c r="A37" s="984"/>
      <c r="C37" s="1661"/>
      <c r="D37" s="1663"/>
      <c r="E37" s="1689" t="s">
        <v>331</v>
      </c>
      <c r="F37" s="949" t="s">
        <v>663</v>
      </c>
      <c r="G37" s="1679"/>
      <c r="H37" s="553"/>
      <c r="I37" s="553"/>
      <c r="J37" s="270"/>
      <c r="K37" s="539"/>
      <c r="L37" s="1661"/>
      <c r="M37" s="1661"/>
      <c r="R37" s="1661"/>
      <c r="U37" s="540"/>
      <c r="AA37" s="1657"/>
      <c r="AB37" s="1657"/>
      <c r="AC37" s="1657"/>
      <c r="AD37" s="1657"/>
      <c r="AE37" s="1657"/>
    </row>
    <row s="1383" customFormat="1" customHeight="1" ht="18.75">
      <c r="A38" s="982"/>
      <c r="C38" s="1661"/>
      <c r="D38" s="571"/>
      <c r="E38" s="1689" t="s">
        <v>90</v>
      </c>
      <c r="F38" s="702" t="s">
        <v>664</v>
      </c>
      <c r="G38" s="1668" t="s">
        <v>551</v>
      </c>
      <c r="H38" s="553"/>
      <c r="I38" s="553"/>
      <c r="J38" s="270" t="s">
        <v>665</v>
      </c>
      <c r="K38" s="539"/>
      <c r="L38" s="1661"/>
      <c r="M38" s="1661"/>
      <c r="R38" s="1661"/>
      <c r="U38" s="540"/>
      <c r="AA38" s="1657"/>
      <c r="AB38" s="1657"/>
      <c r="AC38" s="1657"/>
      <c r="AD38" s="1657"/>
      <c r="AE38" s="1657"/>
    </row>
    <row s="1383" customFormat="1" customHeight="1" ht="22.5">
      <c r="A39" s="982"/>
      <c r="C39" s="1661"/>
      <c r="D39" s="571"/>
      <c r="E39" s="1689" t="s">
        <v>666</v>
      </c>
      <c r="F39" s="949" t="s">
        <v>667</v>
      </c>
      <c r="G39" s="1679" t="s">
        <v>551</v>
      </c>
      <c r="H39" s="553"/>
      <c r="I39" s="553"/>
      <c r="J39" s="270" t="s">
        <v>668</v>
      </c>
      <c r="K39" s="539"/>
      <c r="L39" s="1661"/>
      <c r="M39" s="1661"/>
      <c r="R39" s="1661"/>
      <c r="U39" s="540"/>
      <c r="AA39" s="1657"/>
      <c r="AB39" s="1657"/>
      <c r="AC39" s="1657"/>
      <c r="AD39" s="1657"/>
      <c r="AE39" s="1657"/>
    </row>
    <row s="1383" customFormat="1" customHeight="1" ht="22.5">
      <c r="A40" s="982"/>
      <c r="C40" s="1661"/>
      <c r="D40" s="1663"/>
      <c r="E40" s="1689" t="s">
        <v>669</v>
      </c>
      <c r="F40" s="1675" t="s">
        <v>670</v>
      </c>
      <c r="G40" s="1668" t="s">
        <v>551</v>
      </c>
      <c r="H40" s="553"/>
      <c r="I40" s="553"/>
      <c r="J40" s="270" t="s">
        <v>671</v>
      </c>
      <c r="K40" s="539"/>
      <c r="L40" s="1661"/>
      <c r="M40" s="1661"/>
      <c r="R40" s="1661"/>
      <c r="U40" s="540"/>
      <c r="AA40" s="1657"/>
      <c r="AB40" s="1657"/>
      <c r="AC40" s="1657"/>
      <c r="AD40" s="1657"/>
      <c r="AE40" s="1657"/>
    </row>
    <row s="1383" customFormat="1" customHeight="1" ht="22.5">
      <c r="A41" s="982"/>
      <c r="C41" s="1661"/>
      <c r="D41" s="1663"/>
      <c r="E41" s="1689" t="s">
        <v>672</v>
      </c>
      <c r="F41" s="1675" t="s">
        <v>673</v>
      </c>
      <c r="G41" s="1668" t="s">
        <v>551</v>
      </c>
      <c r="H41" s="553"/>
      <c r="I41" s="553"/>
      <c r="J41" s="270" t="s">
        <v>674</v>
      </c>
      <c r="K41" s="539"/>
      <c r="L41" s="1661"/>
      <c r="M41" s="1661"/>
      <c r="R41" s="1661"/>
      <c r="U41" s="540"/>
      <c r="AA41" s="1657"/>
      <c r="AB41" s="1657"/>
      <c r="AC41" s="1657"/>
      <c r="AD41" s="1657"/>
      <c r="AE41" s="1657"/>
    </row>
    <row s="1383" customFormat="1" customHeight="1" ht="22.5">
      <c r="A42" s="982"/>
      <c r="C42" s="1661"/>
      <c r="D42" s="1663"/>
      <c r="E42" s="1689" t="s">
        <v>675</v>
      </c>
      <c r="F42" s="1675" t="s">
        <v>676</v>
      </c>
      <c r="G42" s="1668" t="s">
        <v>551</v>
      </c>
      <c r="H42" s="553"/>
      <c r="I42" s="553"/>
      <c r="J42" s="270" t="s">
        <v>677</v>
      </c>
      <c r="K42" s="539"/>
      <c r="L42" s="1661"/>
      <c r="M42" s="1661"/>
      <c r="R42" s="1661"/>
      <c r="U42" s="540"/>
      <c r="AA42" s="1657"/>
      <c r="AB42" s="1657"/>
      <c r="AC42" s="1657"/>
      <c r="AD42" s="1657"/>
      <c r="AE42" s="1657"/>
    </row>
    <row s="1383" customFormat="1" customHeight="1" ht="33.75">
      <c r="A43" s="982"/>
      <c r="C43" s="1661" t="s">
        <v>587</v>
      </c>
      <c r="D43" s="1663"/>
      <c r="E43" s="1689" t="s">
        <v>110</v>
      </c>
      <c r="F43" s="702" t="s">
        <v>678</v>
      </c>
      <c r="G43" s="1671" t="s">
        <v>679</v>
      </c>
      <c r="H43" s="398"/>
      <c r="I43" s="398"/>
      <c r="J43" s="270" t="s">
        <v>680</v>
      </c>
      <c r="K43" s="539"/>
      <c r="L43" s="1661"/>
      <c r="M43" s="1661"/>
      <c r="R43" s="1661"/>
      <c r="U43" s="540"/>
      <c r="AA43" s="1657"/>
      <c r="AB43" s="1657"/>
      <c r="AC43" s="1657"/>
      <c r="AD43" s="1657"/>
      <c r="AE43" s="1657"/>
    </row>
    <row s="1383" customFormat="1" customHeight="1" ht="22.5">
      <c r="A44" s="982"/>
      <c r="C44" s="1661"/>
      <c r="D44" s="1663"/>
      <c r="E44" s="1689" t="s">
        <v>91</v>
      </c>
      <c r="F44" s="702" t="s">
        <v>681</v>
      </c>
      <c r="G44" s="1668" t="s">
        <v>682</v>
      </c>
      <c r="H44" s="541"/>
      <c r="I44" s="541"/>
      <c r="J44" s="270" t="s">
        <v>683</v>
      </c>
      <c r="K44" s="539"/>
      <c r="L44" s="1661"/>
      <c r="M44" s="1661"/>
      <c r="R44" s="1661"/>
      <c r="U44" s="540"/>
      <c r="AA44" s="1657"/>
      <c r="AB44" s="1657"/>
      <c r="AC44" s="1657"/>
      <c r="AD44" s="1657"/>
      <c r="AE44" s="1657"/>
    </row>
    <row s="1383" customFormat="1" customHeight="1" ht="22.5">
      <c r="A45" s="982"/>
      <c r="C45" s="1661"/>
      <c r="D45" s="1663"/>
      <c r="E45" s="1689" t="s">
        <v>92</v>
      </c>
      <c r="F45" s="702" t="s">
        <v>684</v>
      </c>
      <c r="G45" s="1679" t="s">
        <v>685</v>
      </c>
      <c r="H45" s="541"/>
      <c r="I45" s="541"/>
      <c r="J45" s="270" t="s">
        <v>686</v>
      </c>
      <c r="K45" s="539"/>
      <c r="L45" s="1661"/>
      <c r="M45" s="1661"/>
      <c r="R45" s="1661"/>
      <c r="U45" s="540"/>
      <c r="AA45" s="1657"/>
      <c r="AB45" s="1657"/>
      <c r="AC45" s="1657"/>
      <c r="AD45" s="1657"/>
      <c r="AE45" s="1657"/>
    </row>
    <row s="1383" customFormat="1" customHeight="1" ht="18.75">
      <c r="A46" s="982"/>
      <c r="C46" s="1661"/>
      <c r="D46" s="1663"/>
      <c r="E46" s="1689" t="s">
        <v>111</v>
      </c>
      <c r="F46" s="702" t="s">
        <v>687</v>
      </c>
      <c r="G46" s="1668" t="s">
        <v>589</v>
      </c>
      <c r="H46" s="573"/>
      <c r="I46" s="573"/>
      <c r="J46" s="270"/>
      <c r="K46" s="539"/>
      <c r="L46" s="1661"/>
      <c r="M46" s="1661"/>
      <c r="R46" s="1661"/>
      <c r="U46" s="540"/>
      <c r="AA46" s="1657"/>
      <c r="AB46" s="1657"/>
      <c r="AC46" s="1657"/>
      <c r="AD46" s="1657"/>
      <c r="AE46" s="1657"/>
    </row>
    <row customHeight="1" ht="11.25">
      <c r="D47" s="1663"/>
    </row>
    <row customHeight="1" ht="26.25">
      <c r="D48" s="1663"/>
      <c r="E48" s="1260"/>
      <c r="F48" s="2088"/>
      <c r="G48" s="2088"/>
      <c r="H48" s="2088"/>
      <c r="I48" s="2088"/>
      <c r="J48" s="2088"/>
    </row>
    <row s="1666" customFormat="1" customHeight="1" ht="37.5">
      <c r="A49" s="982"/>
      <c r="B49" s="1661"/>
      <c r="C49" s="1661"/>
      <c r="D49" s="339"/>
      <c r="F49" s="2088"/>
      <c r="G49" s="2088"/>
      <c r="H49" s="2088"/>
      <c r="I49" s="2088"/>
      <c r="J49" s="2088"/>
      <c r="K49" s="1155"/>
      <c r="L49" s="1661"/>
      <c r="M49" s="1661"/>
      <c r="N49" s="1155"/>
      <c r="O49" s="1155"/>
      <c r="P49" s="1155"/>
      <c r="Q49" s="1155"/>
      <c r="R49" s="1661"/>
      <c r="S49" s="1155"/>
      <c r="T49" s="1155"/>
      <c r="U49" s="540"/>
      <c r="V49" s="1155"/>
      <c r="W49" s="1155"/>
      <c r="X49" s="1155"/>
      <c r="Y49" s="1155"/>
      <c r="Z49" s="1155"/>
      <c r="AA49" s="1657"/>
      <c r="AB49" s="562"/>
      <c r="AC49" s="562"/>
      <c r="AD49" s="562"/>
      <c r="AE49" s="562"/>
    </row>
    <row s="1666" customFormat="1" customHeight="1" ht="11.25">
      <c r="A50" s="982"/>
      <c r="B50" s="1661"/>
      <c r="C50" s="1661"/>
      <c r="D50" s="339"/>
      <c r="K50" s="1155"/>
      <c r="L50" s="1661"/>
      <c r="M50" s="1661"/>
      <c r="N50" s="1155"/>
      <c r="O50" s="1155"/>
      <c r="P50" s="1155"/>
      <c r="Q50" s="1155"/>
      <c r="R50" s="1661"/>
      <c r="S50" s="1155"/>
      <c r="T50" s="1155"/>
      <c r="U50" s="540"/>
      <c r="V50" s="1155"/>
      <c r="W50" s="1155"/>
      <c r="X50" s="1155"/>
      <c r="Y50" s="1155"/>
      <c r="Z50" s="1155"/>
      <c r="AA50" s="1657"/>
      <c r="AB50" s="562"/>
      <c r="AC50" s="562"/>
      <c r="AD50" s="562"/>
      <c r="AE50" s="562"/>
    </row>
    <row s="1666" customFormat="1" customHeight="1" ht="11.25">
      <c r="A51" s="982"/>
      <c r="B51" s="1661"/>
      <c r="C51" s="1661"/>
      <c r="D51" s="339"/>
      <c r="K51" s="1155"/>
      <c r="L51" s="1661"/>
      <c r="M51" s="1661"/>
      <c r="N51" s="1155"/>
      <c r="O51" s="1155"/>
      <c r="P51" s="1155"/>
      <c r="Q51" s="1155"/>
      <c r="R51" s="1661"/>
      <c r="S51" s="1155"/>
      <c r="T51" s="1155"/>
      <c r="U51" s="540"/>
      <c r="V51" s="1155"/>
      <c r="W51" s="1155"/>
      <c r="X51" s="1155"/>
      <c r="Y51" s="1155"/>
      <c r="Z51" s="1155"/>
      <c r="AA51" s="1657"/>
      <c r="AB51" s="562"/>
      <c r="AC51" s="562"/>
      <c r="AD51" s="562"/>
      <c r="AE51" s="562"/>
    </row>
    <row s="1666" customFormat="1" customHeight="1" ht="11.25">
      <c r="A52" s="982"/>
      <c r="B52" s="1661"/>
      <c r="C52" s="1661"/>
      <c r="D52" s="339"/>
      <c r="H52" s="562"/>
      <c r="I52" s="562"/>
      <c r="K52" s="1155"/>
      <c r="L52" s="1661"/>
      <c r="M52" s="1661"/>
      <c r="N52" s="1155"/>
      <c r="O52" s="1155"/>
      <c r="P52" s="1155"/>
      <c r="Q52" s="1155"/>
      <c r="R52" s="1661"/>
      <c r="S52" s="1155"/>
      <c r="T52" s="1155"/>
      <c r="U52" s="540"/>
      <c r="V52" s="1155"/>
      <c r="W52" s="1155"/>
      <c r="X52" s="1155"/>
      <c r="Y52" s="1155"/>
      <c r="Z52" s="1155"/>
      <c r="AA52" s="1657"/>
      <c r="AB52" s="562"/>
      <c r="AC52" s="562"/>
      <c r="AD52" s="562"/>
      <c r="AE52" s="562"/>
    </row>
    <row s="1666" customFormat="1" customHeight="1" ht="11.25">
      <c r="A53" s="982"/>
      <c r="B53" s="1661"/>
      <c r="C53" s="1661"/>
      <c r="D53" s="339"/>
      <c r="K53" s="1155"/>
      <c r="L53" s="1661"/>
      <c r="M53" s="1661"/>
      <c r="N53" s="1155"/>
      <c r="O53" s="1155"/>
      <c r="P53" s="1155"/>
      <c r="Q53" s="1155"/>
      <c r="R53" s="1661"/>
      <c r="S53" s="1155"/>
      <c r="T53" s="1155"/>
      <c r="U53" s="540"/>
      <c r="V53" s="1155"/>
      <c r="W53" s="1155"/>
      <c r="X53" s="1155"/>
      <c r="Y53" s="1155"/>
      <c r="Z53" s="1155"/>
      <c r="AA53" s="1657"/>
      <c r="AB53" s="562"/>
      <c r="AC53" s="562"/>
      <c r="AD53" s="562"/>
      <c r="AE53" s="562"/>
    </row>
    <row s="1666" customFormat="1" customHeight="1" ht="11.25">
      <c r="A54" s="982"/>
      <c r="B54" s="1661"/>
      <c r="C54" s="1661"/>
      <c r="D54" s="339"/>
      <c r="K54" s="1155"/>
      <c r="L54" s="1661"/>
      <c r="M54" s="1661"/>
      <c r="N54" s="1155"/>
      <c r="O54" s="1155"/>
      <c r="P54" s="1155"/>
      <c r="Q54" s="1155"/>
      <c r="R54" s="1661"/>
      <c r="S54" s="1155"/>
      <c r="T54" s="1155"/>
      <c r="U54" s="540"/>
      <c r="V54" s="1155"/>
      <c r="W54" s="1155"/>
      <c r="X54" s="1155"/>
      <c r="Y54" s="1155"/>
      <c r="Z54" s="1155"/>
      <c r="AA54" s="1657"/>
      <c r="AB54" s="562"/>
      <c r="AC54" s="562"/>
      <c r="AD54" s="562"/>
      <c r="AE54" s="562"/>
    </row>
    <row s="1666" customFormat="1" customHeight="1" ht="11.25">
      <c r="A55" s="982"/>
      <c r="B55" s="1661"/>
      <c r="C55" s="1661"/>
      <c r="D55" s="339"/>
      <c r="K55" s="1155"/>
      <c r="L55" s="1661"/>
      <c r="M55" s="1661"/>
      <c r="N55" s="1155"/>
      <c r="O55" s="1155"/>
      <c r="P55" s="1155"/>
      <c r="Q55" s="1155"/>
      <c r="R55" s="1661"/>
      <c r="S55" s="1155"/>
      <c r="T55" s="1155"/>
      <c r="U55" s="540"/>
      <c r="V55" s="1155"/>
      <c r="W55" s="1155"/>
      <c r="X55" s="1155"/>
      <c r="Y55" s="1155"/>
      <c r="Z55" s="1155"/>
      <c r="AA55" s="1657"/>
      <c r="AB55" s="562"/>
      <c r="AC55" s="562"/>
      <c r="AD55" s="562"/>
      <c r="AE55" s="562"/>
    </row>
    <row s="1666" customFormat="1" customHeight="1" ht="11.25">
      <c r="A56" s="982"/>
      <c r="B56" s="1661"/>
      <c r="C56" s="1661"/>
      <c r="D56" s="339"/>
      <c r="K56" s="1155"/>
      <c r="L56" s="1661"/>
      <c r="M56" s="1661"/>
      <c r="N56" s="1155"/>
      <c r="O56" s="1155"/>
      <c r="P56" s="1155"/>
      <c r="Q56" s="1155"/>
      <c r="R56" s="1661"/>
      <c r="S56" s="1155"/>
      <c r="T56" s="1155"/>
      <c r="U56" s="540"/>
      <c r="V56" s="1155"/>
      <c r="W56" s="1155"/>
      <c r="X56" s="1155"/>
      <c r="Y56" s="1155"/>
      <c r="Z56" s="1155"/>
      <c r="AA56" s="1657"/>
      <c r="AB56" s="562"/>
      <c r="AC56" s="562"/>
      <c r="AD56" s="562"/>
      <c r="AE56" s="562"/>
    </row>
    <row s="1666" customFormat="1" customHeight="1" ht="11.25">
      <c r="A57" s="982"/>
      <c r="B57" s="1661"/>
      <c r="C57" s="1661"/>
      <c r="D57" s="339"/>
      <c r="K57" s="1155"/>
      <c r="L57" s="1661"/>
      <c r="M57" s="1661"/>
      <c r="N57" s="1155"/>
      <c r="O57" s="1155"/>
      <c r="P57" s="1155"/>
      <c r="Q57" s="1155"/>
      <c r="R57" s="1661"/>
      <c r="S57" s="1155"/>
      <c r="T57" s="1155"/>
      <c r="U57" s="540"/>
      <c r="V57" s="1155"/>
      <c r="W57" s="1155"/>
      <c r="X57" s="1155"/>
      <c r="Y57" s="1155"/>
      <c r="Z57" s="1155"/>
      <c r="AA57" s="1657"/>
      <c r="AB57" s="562"/>
      <c r="AC57" s="562"/>
      <c r="AD57" s="562"/>
      <c r="AE57" s="562"/>
    </row>
    <row s="1666" customFormat="1" customHeight="1" ht="11.25">
      <c r="A58" s="982"/>
      <c r="B58" s="1661"/>
      <c r="C58" s="1661"/>
      <c r="D58" s="339"/>
      <c r="K58" s="1155"/>
      <c r="L58" s="1661"/>
      <c r="M58" s="1661"/>
      <c r="N58" s="1155"/>
      <c r="O58" s="1155"/>
      <c r="P58" s="1155"/>
      <c r="Q58" s="1155"/>
      <c r="R58" s="1661"/>
      <c r="S58" s="1155"/>
      <c r="T58" s="1155"/>
      <c r="U58" s="540"/>
      <c r="V58" s="1155"/>
      <c r="W58" s="1155"/>
      <c r="X58" s="1155"/>
      <c r="Y58" s="1155"/>
      <c r="Z58" s="1155"/>
      <c r="AA58" s="1657"/>
      <c r="AB58" s="562"/>
      <c r="AC58" s="562"/>
      <c r="AD58" s="562"/>
      <c r="AE58" s="562"/>
    </row>
    <row s="1666" customFormat="1" customHeight="1" ht="11.25">
      <c r="A59" s="982"/>
      <c r="B59" s="1661"/>
      <c r="C59" s="1661"/>
      <c r="D59" s="339"/>
      <c r="K59" s="1155"/>
      <c r="L59" s="1661"/>
      <c r="M59" s="1661"/>
      <c r="N59" s="1155"/>
      <c r="O59" s="1155"/>
      <c r="P59" s="1155"/>
      <c r="Q59" s="1155"/>
      <c r="R59" s="1661"/>
      <c r="S59" s="1155"/>
      <c r="T59" s="1155"/>
      <c r="U59" s="540"/>
      <c r="V59" s="1155"/>
      <c r="W59" s="1155"/>
      <c r="X59" s="1155"/>
      <c r="Y59" s="1155"/>
      <c r="Z59" s="1155"/>
      <c r="AA59" s="1657"/>
      <c r="AB59" s="562"/>
      <c r="AC59" s="562"/>
      <c r="AD59" s="562"/>
      <c r="AE59" s="562"/>
    </row>
    <row s="1666" customFormat="1" customHeight="1" ht="11.25">
      <c r="A60" s="982"/>
      <c r="B60" s="1661"/>
      <c r="C60" s="1661"/>
      <c r="D60" s="339"/>
      <c r="K60" s="1155"/>
      <c r="L60" s="1661"/>
      <c r="M60" s="1661"/>
      <c r="N60" s="1155"/>
      <c r="O60" s="1155"/>
      <c r="P60" s="1155"/>
      <c r="Q60" s="1155"/>
      <c r="R60" s="1661"/>
      <c r="S60" s="1155"/>
      <c r="T60" s="1155"/>
      <c r="U60" s="540"/>
      <c r="V60" s="1155"/>
      <c r="W60" s="1155"/>
      <c r="X60" s="1155"/>
      <c r="Y60" s="1155"/>
      <c r="Z60" s="1155"/>
      <c r="AA60" s="1657"/>
      <c r="AB60" s="562"/>
      <c r="AC60" s="562"/>
      <c r="AD60" s="562"/>
      <c r="AE60" s="562"/>
    </row>
    <row s="1666" customFormat="1" customHeight="1" ht="11.25">
      <c r="A61" s="982"/>
      <c r="B61" s="1661"/>
      <c r="C61" s="1661"/>
      <c r="D61" s="339"/>
      <c r="K61" s="1155"/>
      <c r="L61" s="1661"/>
      <c r="M61" s="1661"/>
      <c r="N61" s="1155"/>
      <c r="O61" s="1155"/>
      <c r="P61" s="1155"/>
      <c r="Q61" s="1155"/>
      <c r="R61" s="1661"/>
      <c r="S61" s="1155"/>
      <c r="T61" s="1155"/>
      <c r="U61" s="540"/>
      <c r="V61" s="1155"/>
      <c r="W61" s="1155"/>
      <c r="X61" s="1155"/>
      <c r="Y61" s="1155"/>
      <c r="Z61" s="1155"/>
      <c r="AA61" s="1657"/>
      <c r="AB61" s="562"/>
      <c r="AC61" s="562"/>
      <c r="AD61" s="562"/>
      <c r="AE61" s="562"/>
    </row>
    <row s="1666" customFormat="1" customHeight="1" ht="11.25">
      <c r="A62" s="982"/>
      <c r="B62" s="1661"/>
      <c r="C62" s="1661"/>
      <c r="D62" s="339"/>
      <c r="K62" s="1155"/>
      <c r="L62" s="1661"/>
      <c r="M62" s="1661"/>
      <c r="N62" s="1155"/>
      <c r="O62" s="1155"/>
      <c r="P62" s="1155"/>
      <c r="Q62" s="1155"/>
      <c r="R62" s="1661"/>
      <c r="S62" s="1155"/>
      <c r="T62" s="1155"/>
      <c r="U62" s="540"/>
      <c r="V62" s="1155"/>
      <c r="W62" s="1155"/>
      <c r="X62" s="1155"/>
      <c r="Y62" s="1155"/>
      <c r="Z62" s="1155"/>
      <c r="AA62" s="1657"/>
      <c r="AB62" s="562"/>
      <c r="AC62" s="562"/>
      <c r="AD62" s="562"/>
      <c r="AE62" s="562"/>
    </row>
    <row s="1666" customFormat="1" customHeight="1" ht="11.25">
      <c r="A63" s="982"/>
      <c r="B63" s="1661"/>
      <c r="C63" s="1661"/>
      <c r="D63" s="339"/>
      <c r="K63" s="1155"/>
      <c r="L63" s="1661"/>
      <c r="M63" s="1661"/>
      <c r="N63" s="1155"/>
      <c r="O63" s="1155"/>
      <c r="P63" s="1155"/>
      <c r="Q63" s="1155"/>
      <c r="R63" s="1661"/>
      <c r="S63" s="1155"/>
      <c r="T63" s="1155"/>
      <c r="U63" s="540"/>
      <c r="V63" s="1155"/>
      <c r="W63" s="1155"/>
      <c r="X63" s="1155"/>
      <c r="Y63" s="1155"/>
      <c r="Z63" s="1155"/>
      <c r="AA63" s="1657"/>
      <c r="AB63" s="562"/>
      <c r="AC63" s="562"/>
      <c r="AD63" s="562"/>
      <c r="AE63" s="562"/>
    </row>
    <row s="1666" customFormat="1" customHeight="1" ht="11.25">
      <c r="A64" s="982"/>
      <c r="B64" s="1661"/>
      <c r="C64" s="1661"/>
      <c r="D64" s="339"/>
      <c r="K64" s="1155"/>
      <c r="L64" s="1661"/>
      <c r="M64" s="1661"/>
      <c r="N64" s="1155"/>
      <c r="O64" s="1155"/>
      <c r="P64" s="1155"/>
      <c r="Q64" s="1155"/>
      <c r="R64" s="1661"/>
      <c r="S64" s="1155"/>
      <c r="T64" s="1155"/>
      <c r="U64" s="540"/>
      <c r="V64" s="1155"/>
      <c r="W64" s="1155"/>
      <c r="X64" s="1155"/>
      <c r="Y64" s="1155"/>
      <c r="Z64" s="1155"/>
      <c r="AA64" s="1657"/>
      <c r="AB64" s="562"/>
      <c r="AC64" s="562"/>
      <c r="AD64" s="562"/>
      <c r="AE64" s="562"/>
    </row>
    <row s="1666" customFormat="1" customHeight="1" ht="11.25">
      <c r="A65" s="982"/>
      <c r="B65" s="1661"/>
      <c r="C65" s="1661"/>
      <c r="D65" s="339"/>
      <c r="K65" s="1155"/>
      <c r="L65" s="1661"/>
      <c r="M65" s="1661"/>
      <c r="N65" s="1155"/>
      <c r="O65" s="1155"/>
      <c r="P65" s="1155"/>
      <c r="Q65" s="1155"/>
      <c r="R65" s="1661"/>
      <c r="S65" s="1155"/>
      <c r="T65" s="1155"/>
      <c r="U65" s="540"/>
      <c r="V65" s="1155"/>
      <c r="W65" s="1155"/>
      <c r="X65" s="1155"/>
      <c r="Y65" s="1155"/>
      <c r="Z65" s="1155"/>
      <c r="AA65" s="1657"/>
      <c r="AB65" s="562"/>
      <c r="AC65" s="562"/>
      <c r="AD65" s="562"/>
      <c r="AE65" s="562"/>
    </row>
    <row s="1666" customFormat="1" customHeight="1" ht="11.25">
      <c r="A66" s="982"/>
      <c r="B66" s="1661"/>
      <c r="C66" s="1661"/>
      <c r="D66" s="339"/>
      <c r="K66" s="1155"/>
      <c r="L66" s="1661"/>
      <c r="M66" s="1661"/>
      <c r="N66" s="1155"/>
      <c r="O66" s="1155"/>
      <c r="P66" s="1155"/>
      <c r="Q66" s="1155"/>
      <c r="R66" s="1661"/>
      <c r="S66" s="1155"/>
      <c r="T66" s="1155"/>
      <c r="U66" s="540"/>
      <c r="V66" s="1155"/>
      <c r="W66" s="1155"/>
      <c r="X66" s="1155"/>
      <c r="Y66" s="1155"/>
      <c r="Z66" s="1155"/>
      <c r="AA66" s="1657"/>
      <c r="AB66" s="562"/>
      <c r="AC66" s="562"/>
      <c r="AD66" s="562"/>
      <c r="AE66" s="562"/>
    </row>
    <row s="1666" customFormat="1" customHeight="1" ht="11.25">
      <c r="A67" s="982"/>
      <c r="B67" s="1661"/>
      <c r="C67" s="1661"/>
      <c r="D67" s="339"/>
      <c r="K67" s="1155"/>
      <c r="L67" s="1661"/>
      <c r="M67" s="1661"/>
      <c r="N67" s="1155"/>
      <c r="O67" s="1155"/>
      <c r="P67" s="1155"/>
      <c r="Q67" s="1155"/>
      <c r="R67" s="1661"/>
      <c r="S67" s="1155"/>
      <c r="T67" s="1155"/>
      <c r="U67" s="540"/>
      <c r="V67" s="1155"/>
      <c r="W67" s="1155"/>
      <c r="X67" s="1155"/>
      <c r="Y67" s="1155"/>
      <c r="Z67" s="1155"/>
      <c r="AA67" s="1657"/>
      <c r="AB67" s="562"/>
      <c r="AC67" s="562"/>
      <c r="AD67" s="562"/>
      <c r="AE67" s="562"/>
    </row>
    <row s="1666" customFormat="1" customHeight="1" ht="11.25">
      <c r="A68" s="982"/>
      <c r="B68" s="1661"/>
      <c r="C68" s="1661"/>
      <c r="D68" s="339"/>
      <c r="K68" s="1155"/>
      <c r="L68" s="1661"/>
      <c r="M68" s="1661"/>
      <c r="N68" s="1155"/>
      <c r="O68" s="1155"/>
      <c r="P68" s="1155"/>
      <c r="Q68" s="1155"/>
      <c r="R68" s="1661"/>
      <c r="S68" s="1155"/>
      <c r="T68" s="1155"/>
      <c r="U68" s="540"/>
      <c r="V68" s="1155"/>
      <c r="W68" s="1155"/>
      <c r="X68" s="1155"/>
      <c r="Y68" s="1155"/>
      <c r="Z68" s="1155"/>
      <c r="AA68" s="1657"/>
      <c r="AB68" s="562"/>
      <c r="AC68" s="562"/>
      <c r="AD68" s="562"/>
      <c r="AE68" s="562"/>
    </row>
    <row s="1666" customFormat="1" customHeight="1" ht="11.25">
      <c r="A69" s="982"/>
      <c r="B69" s="1661"/>
      <c r="C69" s="1661"/>
      <c r="D69" s="339"/>
      <c r="K69" s="1155"/>
      <c r="L69" s="1661"/>
      <c r="M69" s="1661"/>
      <c r="N69" s="1155"/>
      <c r="O69" s="1155"/>
      <c r="P69" s="1155"/>
      <c r="Q69" s="1155"/>
      <c r="R69" s="1661"/>
      <c r="S69" s="1155"/>
      <c r="T69" s="1155"/>
      <c r="U69" s="540"/>
      <c r="V69" s="1155"/>
      <c r="W69" s="1155"/>
      <c r="X69" s="1155"/>
      <c r="Y69" s="1155"/>
      <c r="Z69" s="1155"/>
      <c r="AA69" s="1657"/>
      <c r="AB69" s="562"/>
      <c r="AC69" s="562"/>
      <c r="AD69" s="562"/>
      <c r="AE69" s="562"/>
    </row>
    <row s="1666" customFormat="1" customHeight="1" ht="11.25">
      <c r="A70" s="982"/>
      <c r="B70" s="1661"/>
      <c r="C70" s="1661"/>
      <c r="D70" s="339"/>
      <c r="K70" s="1155"/>
      <c r="L70" s="1661"/>
      <c r="M70" s="1661"/>
      <c r="N70" s="1155"/>
      <c r="O70" s="1155"/>
      <c r="P70" s="1155"/>
      <c r="Q70" s="1155"/>
      <c r="R70" s="1661"/>
      <c r="S70" s="1155"/>
      <c r="T70" s="1155"/>
      <c r="U70" s="540"/>
      <c r="V70" s="1155"/>
      <c r="W70" s="1155"/>
      <c r="X70" s="1155"/>
      <c r="Y70" s="1155"/>
      <c r="Z70" s="1155"/>
      <c r="AA70" s="1657"/>
      <c r="AB70" s="562"/>
      <c r="AC70" s="562"/>
      <c r="AD70" s="562"/>
      <c r="AE70" s="562"/>
    </row>
    <row s="1666" customFormat="1" customHeight="1" ht="11.25">
      <c r="A71" s="982"/>
      <c r="B71" s="1661"/>
      <c r="C71" s="1661"/>
      <c r="D71" s="339"/>
      <c r="K71" s="1155"/>
      <c r="L71" s="1661"/>
      <c r="M71" s="1661"/>
      <c r="N71" s="1155"/>
      <c r="O71" s="1155"/>
      <c r="P71" s="1155"/>
      <c r="Q71" s="1155"/>
      <c r="R71" s="1661"/>
      <c r="S71" s="1155"/>
      <c r="T71" s="1155"/>
      <c r="U71" s="540"/>
      <c r="V71" s="1155"/>
      <c r="W71" s="1155"/>
      <c r="X71" s="1155"/>
      <c r="Y71" s="1155"/>
      <c r="Z71" s="1155"/>
      <c r="AA71" s="1657"/>
      <c r="AB71" s="562"/>
      <c r="AC71" s="562"/>
      <c r="AD71" s="562"/>
      <c r="AE71" s="562"/>
    </row>
    <row s="1666" customFormat="1" customHeight="1" ht="11.25">
      <c r="A72" s="982"/>
      <c r="B72" s="1661"/>
      <c r="C72" s="1661"/>
      <c r="D72" s="339"/>
      <c r="K72" s="1155"/>
      <c r="L72" s="1661"/>
      <c r="M72" s="1661"/>
      <c r="N72" s="1155"/>
      <c r="O72" s="1155"/>
      <c r="P72" s="1155"/>
      <c r="Q72" s="1155"/>
      <c r="R72" s="1661"/>
      <c r="S72" s="1155"/>
      <c r="T72" s="1155"/>
      <c r="U72" s="540"/>
      <c r="V72" s="1155"/>
      <c r="W72" s="1155"/>
      <c r="X72" s="1155"/>
      <c r="Y72" s="1155"/>
      <c r="Z72" s="1155"/>
      <c r="AA72" s="1657"/>
      <c r="AB72" s="562"/>
      <c r="AC72" s="562"/>
      <c r="AD72" s="562"/>
      <c r="AE72" s="562"/>
    </row>
    <row s="1666" customFormat="1" customHeight="1" ht="11.25">
      <c r="A73" s="982"/>
      <c r="B73" s="1661"/>
      <c r="C73" s="1661"/>
      <c r="D73" s="339"/>
      <c r="K73" s="1155"/>
      <c r="L73" s="1661"/>
      <c r="M73" s="1661"/>
      <c r="N73" s="1155"/>
      <c r="O73" s="1155"/>
      <c r="P73" s="1155"/>
      <c r="Q73" s="1155"/>
      <c r="R73" s="1661"/>
      <c r="S73" s="1155"/>
      <c r="T73" s="1155"/>
      <c r="U73" s="540"/>
      <c r="V73" s="1155"/>
      <c r="W73" s="1155"/>
      <c r="X73" s="1155"/>
      <c r="Y73" s="1155"/>
      <c r="Z73" s="1155"/>
      <c r="AA73" s="1657"/>
      <c r="AB73" s="562"/>
      <c r="AC73" s="562"/>
      <c r="AD73" s="562"/>
      <c r="AE73" s="562"/>
    </row>
    <row s="1666" customFormat="1" customHeight="1" ht="11.25">
      <c r="A74" s="982"/>
      <c r="B74" s="1661"/>
      <c r="C74" s="1661"/>
      <c r="D74" s="339"/>
      <c r="K74" s="1155"/>
      <c r="L74" s="1661"/>
      <c r="M74" s="1661"/>
      <c r="N74" s="1155"/>
      <c r="O74" s="1155"/>
      <c r="P74" s="1155"/>
      <c r="Q74" s="1155"/>
      <c r="R74" s="1661"/>
      <c r="S74" s="1155"/>
      <c r="T74" s="1155"/>
      <c r="U74" s="540"/>
      <c r="V74" s="1155"/>
      <c r="W74" s="1155"/>
      <c r="X74" s="1155"/>
      <c r="Y74" s="1155"/>
      <c r="Z74" s="1155"/>
      <c r="AA74" s="1657"/>
      <c r="AB74" s="562"/>
      <c r="AC74" s="562"/>
      <c r="AD74" s="562"/>
      <c r="AE74" s="562"/>
    </row>
    <row s="1666" customFormat="1" customHeight="1" ht="11.25">
      <c r="A75" s="982"/>
      <c r="B75" s="1661"/>
      <c r="C75" s="1661"/>
      <c r="D75" s="339"/>
      <c r="K75" s="1155"/>
      <c r="L75" s="1661"/>
      <c r="M75" s="1661"/>
      <c r="N75" s="1155"/>
      <c r="O75" s="1155"/>
      <c r="P75" s="1155"/>
      <c r="Q75" s="1155"/>
      <c r="R75" s="1661"/>
      <c r="S75" s="1155"/>
      <c r="T75" s="1155"/>
      <c r="U75" s="540"/>
      <c r="V75" s="1155"/>
      <c r="W75" s="1155"/>
      <c r="X75" s="1155"/>
      <c r="Y75" s="1155"/>
      <c r="Z75" s="1155"/>
      <c r="AA75" s="1657"/>
      <c r="AB75" s="562"/>
      <c r="AC75" s="562"/>
      <c r="AD75" s="562"/>
      <c r="AE75" s="562"/>
    </row>
    <row s="1666" customFormat="1" customHeight="1" ht="11.25">
      <c r="A76" s="982"/>
      <c r="B76" s="1661"/>
      <c r="C76" s="1661"/>
      <c r="D76" s="339"/>
      <c r="K76" s="1155"/>
      <c r="L76" s="1661"/>
      <c r="M76" s="1661"/>
      <c r="N76" s="1155"/>
      <c r="O76" s="1155"/>
      <c r="P76" s="1155"/>
      <c r="Q76" s="1155"/>
      <c r="R76" s="1661"/>
      <c r="S76" s="1155"/>
      <c r="T76" s="1155"/>
      <c r="U76" s="540"/>
      <c r="V76" s="1155"/>
      <c r="W76" s="1155"/>
      <c r="X76" s="1155"/>
      <c r="Y76" s="1155"/>
      <c r="Z76" s="1155"/>
      <c r="AA76" s="1657"/>
      <c r="AB76" s="562"/>
      <c r="AC76" s="562"/>
      <c r="AD76" s="562"/>
      <c r="AE76" s="562"/>
    </row>
    <row s="1666" customFormat="1" customHeight="1" ht="11.25">
      <c r="A77" s="982"/>
      <c r="B77" s="1661"/>
      <c r="C77" s="1661"/>
      <c r="D77" s="339"/>
      <c r="K77" s="1155"/>
      <c r="L77" s="1661"/>
      <c r="M77" s="1661"/>
      <c r="N77" s="1155"/>
      <c r="O77" s="1155"/>
      <c r="P77" s="1155"/>
      <c r="Q77" s="1155"/>
      <c r="R77" s="1661"/>
      <c r="S77" s="1155"/>
      <c r="T77" s="1155"/>
      <c r="U77" s="540"/>
      <c r="V77" s="1155"/>
      <c r="W77" s="1155"/>
      <c r="X77" s="1155"/>
      <c r="Y77" s="1155"/>
      <c r="Z77" s="1155"/>
      <c r="AA77" s="1657"/>
      <c r="AB77" s="562"/>
      <c r="AC77" s="562"/>
      <c r="AD77" s="562"/>
      <c r="AE77" s="562"/>
    </row>
    <row s="1666" customFormat="1" customHeight="1" ht="11.25">
      <c r="A78" s="982"/>
      <c r="B78" s="1661"/>
      <c r="C78" s="1661"/>
      <c r="D78" s="339"/>
      <c r="K78" s="1155"/>
      <c r="L78" s="1661"/>
      <c r="M78" s="1661"/>
      <c r="N78" s="1155"/>
      <c r="O78" s="1155"/>
      <c r="P78" s="1155"/>
      <c r="Q78" s="1155"/>
      <c r="R78" s="1661"/>
      <c r="S78" s="1155"/>
      <c r="T78" s="1155"/>
      <c r="U78" s="540"/>
      <c r="V78" s="1155"/>
      <c r="W78" s="1155"/>
      <c r="X78" s="1155"/>
      <c r="Y78" s="1155"/>
      <c r="Z78" s="1155"/>
      <c r="AA78" s="1657"/>
      <c r="AB78" s="562"/>
      <c r="AC78" s="562"/>
      <c r="AD78" s="562"/>
      <c r="AE78" s="562"/>
    </row>
    <row s="1666" customFormat="1" customHeight="1" ht="11.25">
      <c r="A79" s="982"/>
      <c r="B79" s="1661"/>
      <c r="C79" s="1661"/>
      <c r="D79" s="339"/>
      <c r="K79" s="1155"/>
      <c r="L79" s="1661"/>
      <c r="M79" s="1661"/>
      <c r="N79" s="1155"/>
      <c r="O79" s="1155"/>
      <c r="P79" s="1155"/>
      <c r="Q79" s="1155"/>
      <c r="R79" s="1661"/>
      <c r="S79" s="1155"/>
      <c r="T79" s="1155"/>
      <c r="U79" s="540"/>
      <c r="V79" s="1155"/>
      <c r="W79" s="1155"/>
      <c r="X79" s="1155"/>
      <c r="Y79" s="1155"/>
      <c r="Z79" s="1155"/>
      <c r="AA79" s="1657"/>
      <c r="AB79" s="562"/>
      <c r="AC79" s="562"/>
      <c r="AD79" s="562"/>
      <c r="AE79" s="562"/>
    </row>
    <row s="1666" customFormat="1" customHeight="1" ht="11.25">
      <c r="A80" s="982"/>
      <c r="B80" s="1661"/>
      <c r="C80" s="1661"/>
      <c r="D80" s="339"/>
      <c r="K80" s="1155"/>
      <c r="L80" s="1661"/>
      <c r="M80" s="1661"/>
      <c r="N80" s="1155"/>
      <c r="O80" s="1155"/>
      <c r="P80" s="1155"/>
      <c r="Q80" s="1155"/>
      <c r="R80" s="1661"/>
      <c r="S80" s="1155"/>
      <c r="T80" s="1155"/>
      <c r="U80" s="540"/>
      <c r="V80" s="1155"/>
      <c r="W80" s="1155"/>
      <c r="X80" s="1155"/>
      <c r="Y80" s="1155"/>
      <c r="Z80" s="1155"/>
      <c r="AA80" s="1657"/>
      <c r="AB80" s="562"/>
      <c r="AC80" s="562"/>
      <c r="AD80" s="562"/>
      <c r="AE80" s="562"/>
    </row>
    <row s="1666" customFormat="1" customHeight="1" ht="11.25">
      <c r="A81" s="982"/>
      <c r="B81" s="1661"/>
      <c r="C81" s="1661"/>
      <c r="D81" s="339"/>
      <c r="K81" s="1155"/>
      <c r="L81" s="1661"/>
      <c r="M81" s="1661"/>
      <c r="N81" s="1155"/>
      <c r="O81" s="1155"/>
      <c r="P81" s="1155"/>
      <c r="Q81" s="1155"/>
      <c r="R81" s="1661"/>
      <c r="S81" s="1155"/>
      <c r="T81" s="1155"/>
      <c r="U81" s="540"/>
      <c r="V81" s="1155"/>
      <c r="W81" s="1155"/>
      <c r="X81" s="1155"/>
      <c r="Y81" s="1155"/>
      <c r="Z81" s="1155"/>
      <c r="AA81" s="1657"/>
      <c r="AB81" s="562"/>
      <c r="AC81" s="562"/>
      <c r="AD81" s="562"/>
      <c r="AE81" s="562"/>
    </row>
    <row s="1666" customFormat="1" customHeight="1" ht="11.25">
      <c r="A82" s="982"/>
      <c r="B82" s="1661"/>
      <c r="C82" s="1661"/>
      <c r="D82" s="339"/>
      <c r="K82" s="1155"/>
      <c r="L82" s="1661"/>
      <c r="M82" s="1661"/>
      <c r="N82" s="1155"/>
      <c r="O82" s="1155"/>
      <c r="P82" s="1155"/>
      <c r="Q82" s="1155"/>
      <c r="R82" s="1661"/>
      <c r="S82" s="1155"/>
      <c r="T82" s="1155"/>
      <c r="U82" s="540"/>
      <c r="V82" s="1155"/>
      <c r="W82" s="1155"/>
      <c r="X82" s="1155"/>
      <c r="Y82" s="1155"/>
      <c r="Z82" s="1155"/>
      <c r="AA82" s="1657"/>
      <c r="AB82" s="562"/>
      <c r="AC82" s="562"/>
      <c r="AD82" s="562"/>
      <c r="AE82" s="562"/>
    </row>
    <row s="1666" customFormat="1" customHeight="1" ht="11.25">
      <c r="A83" s="982"/>
      <c r="B83" s="1661"/>
      <c r="C83" s="1661"/>
      <c r="D83" s="339"/>
      <c r="K83" s="1155"/>
      <c r="L83" s="1661"/>
      <c r="M83" s="1661"/>
      <c r="N83" s="1155"/>
      <c r="O83" s="1155"/>
      <c r="P83" s="1155"/>
      <c r="Q83" s="1155"/>
      <c r="R83" s="1661"/>
      <c r="S83" s="1155"/>
      <c r="T83" s="1155"/>
      <c r="U83" s="540"/>
      <c r="V83" s="1155"/>
      <c r="W83" s="1155"/>
      <c r="X83" s="1155"/>
      <c r="Y83" s="1155"/>
      <c r="Z83" s="1155"/>
      <c r="AA83" s="1657"/>
      <c r="AB83" s="562"/>
      <c r="AC83" s="562"/>
      <c r="AD83" s="562"/>
      <c r="AE83" s="562"/>
    </row>
    <row s="1666" customFormat="1" customHeight="1" ht="11.25">
      <c r="A84" s="982"/>
      <c r="B84" s="1661"/>
      <c r="C84" s="1661"/>
      <c r="D84" s="339"/>
      <c r="K84" s="1155"/>
      <c r="L84" s="1661"/>
      <c r="M84" s="1661"/>
      <c r="N84" s="1155"/>
      <c r="O84" s="1155"/>
      <c r="P84" s="1155"/>
      <c r="Q84" s="1155"/>
      <c r="R84" s="1661"/>
      <c r="S84" s="1155"/>
      <c r="T84" s="1155"/>
      <c r="U84" s="540"/>
      <c r="V84" s="1155"/>
      <c r="W84" s="1155"/>
      <c r="X84" s="1155"/>
      <c r="Y84" s="1155"/>
      <c r="Z84" s="1155"/>
      <c r="AA84" s="1657"/>
      <c r="AB84" s="562"/>
      <c r="AC84" s="562"/>
      <c r="AD84" s="562"/>
      <c r="AE84" s="562"/>
    </row>
    <row s="1666" customFormat="1" customHeight="1" ht="11.25">
      <c r="A85" s="982"/>
      <c r="B85" s="1661"/>
      <c r="C85" s="1661"/>
      <c r="D85" s="339"/>
      <c r="K85" s="1155"/>
      <c r="L85" s="1661"/>
      <c r="M85" s="1661"/>
      <c r="N85" s="1155"/>
      <c r="O85" s="1155"/>
      <c r="P85" s="1155"/>
      <c r="Q85" s="1155"/>
      <c r="R85" s="1661"/>
      <c r="S85" s="1155"/>
      <c r="T85" s="1155"/>
      <c r="U85" s="540"/>
      <c r="V85" s="1155"/>
      <c r="W85" s="1155"/>
      <c r="X85" s="1155"/>
      <c r="Y85" s="1155"/>
      <c r="Z85" s="1155"/>
      <c r="AA85" s="1657"/>
      <c r="AB85" s="562"/>
      <c r="AC85" s="562"/>
      <c r="AD85" s="562"/>
      <c r="AE85" s="562"/>
    </row>
    <row s="1666" customFormat="1" customHeight="1" ht="11.25">
      <c r="A86" s="982"/>
      <c r="B86" s="1661"/>
      <c r="C86" s="1661"/>
      <c r="D86" s="339"/>
      <c r="K86" s="1155"/>
      <c r="L86" s="1661"/>
      <c r="M86" s="1661"/>
      <c r="N86" s="1155"/>
      <c r="O86" s="1155"/>
      <c r="P86" s="1155"/>
      <c r="Q86" s="1155"/>
      <c r="R86" s="1661"/>
      <c r="S86" s="1155"/>
      <c r="T86" s="1155"/>
      <c r="U86" s="540"/>
      <c r="V86" s="1155"/>
      <c r="W86" s="1155"/>
      <c r="X86" s="1155"/>
      <c r="Y86" s="1155"/>
      <c r="Z86" s="1155"/>
      <c r="AA86" s="1657"/>
      <c r="AB86" s="562"/>
      <c r="AC86" s="562"/>
      <c r="AD86" s="562"/>
      <c r="AE86" s="562"/>
    </row>
    <row s="1666" customFormat="1" customHeight="1" ht="11.25">
      <c r="A87" s="982"/>
      <c r="B87" s="1661"/>
      <c r="C87" s="1661"/>
      <c r="D87" s="339"/>
      <c r="K87" s="1155"/>
      <c r="L87" s="1661"/>
      <c r="M87" s="1661"/>
      <c r="N87" s="1155"/>
      <c r="O87" s="1155"/>
      <c r="P87" s="1155"/>
      <c r="Q87" s="1155"/>
      <c r="R87" s="1661"/>
      <c r="S87" s="1155"/>
      <c r="T87" s="1155"/>
      <c r="U87" s="540"/>
      <c r="V87" s="1155"/>
      <c r="W87" s="1155"/>
      <c r="X87" s="1155"/>
      <c r="Y87" s="1155"/>
      <c r="Z87" s="1155"/>
      <c r="AA87" s="1657"/>
      <c r="AB87" s="562"/>
      <c r="AC87" s="562"/>
      <c r="AD87" s="562"/>
      <c r="AE87" s="562"/>
    </row>
    <row s="1666" customFormat="1" customHeight="1" ht="11.25">
      <c r="A88" s="982"/>
      <c r="B88" s="1661"/>
      <c r="C88" s="1661"/>
      <c r="D88" s="339"/>
      <c r="K88" s="1155"/>
      <c r="L88" s="1661"/>
      <c r="M88" s="1661"/>
      <c r="N88" s="1155"/>
      <c r="O88" s="1155"/>
      <c r="P88" s="1155"/>
      <c r="Q88" s="1155"/>
      <c r="R88" s="1661"/>
      <c r="S88" s="1155"/>
      <c r="T88" s="1155"/>
      <c r="U88" s="540"/>
      <c r="V88" s="1155"/>
      <c r="W88" s="1155"/>
      <c r="X88" s="1155"/>
      <c r="Y88" s="1155"/>
      <c r="Z88" s="1155"/>
      <c r="AA88" s="1657"/>
      <c r="AB88" s="562"/>
      <c r="AC88" s="562"/>
      <c r="AD88" s="562"/>
      <c r="AE88" s="562"/>
    </row>
    <row s="1666" customFormat="1" customHeight="1" ht="11.25">
      <c r="A89" s="982"/>
      <c r="B89" s="1661"/>
      <c r="C89" s="1661"/>
      <c r="D89" s="339"/>
      <c r="K89" s="1155"/>
      <c r="L89" s="1661"/>
      <c r="M89" s="1661"/>
      <c r="N89" s="1155"/>
      <c r="O89" s="1155"/>
      <c r="P89" s="1155"/>
      <c r="Q89" s="1155"/>
      <c r="R89" s="1661"/>
      <c r="S89" s="1155"/>
      <c r="T89" s="1155"/>
      <c r="U89" s="540"/>
      <c r="V89" s="1155"/>
      <c r="W89" s="1155"/>
      <c r="X89" s="1155"/>
      <c r="Y89" s="1155"/>
      <c r="Z89" s="1155"/>
      <c r="AA89" s="1657"/>
      <c r="AB89" s="562"/>
      <c r="AC89" s="562"/>
      <c r="AD89" s="562"/>
      <c r="AE89" s="562"/>
    </row>
    <row s="1666" customFormat="1" customHeight="1" ht="11.25">
      <c r="A90" s="982"/>
      <c r="B90" s="1661"/>
      <c r="C90" s="1661"/>
      <c r="D90" s="339"/>
      <c r="K90" s="1155"/>
      <c r="L90" s="1661"/>
      <c r="M90" s="1661"/>
      <c r="N90" s="1155"/>
      <c r="O90" s="1155"/>
      <c r="P90" s="1155"/>
      <c r="Q90" s="1155"/>
      <c r="R90" s="1661"/>
      <c r="S90" s="1155"/>
      <c r="T90" s="1155"/>
      <c r="U90" s="540"/>
      <c r="V90" s="1155"/>
      <c r="W90" s="1155"/>
      <c r="X90" s="1155"/>
      <c r="Y90" s="1155"/>
      <c r="Z90" s="1155"/>
      <c r="AA90" s="1657"/>
      <c r="AB90" s="562"/>
      <c r="AC90" s="562"/>
      <c r="AD90" s="562"/>
      <c r="AE90" s="562"/>
    </row>
    <row s="1666" customFormat="1" customHeight="1" ht="11.25">
      <c r="A91" s="982"/>
      <c r="B91" s="1661"/>
      <c r="C91" s="1661"/>
      <c r="D91" s="339"/>
      <c r="K91" s="1155"/>
      <c r="L91" s="1661"/>
      <c r="M91" s="1661"/>
      <c r="N91" s="1155"/>
      <c r="O91" s="1155"/>
      <c r="P91" s="1155"/>
      <c r="Q91" s="1155"/>
      <c r="R91" s="1661"/>
      <c r="S91" s="1155"/>
      <c r="T91" s="1155"/>
      <c r="U91" s="540"/>
      <c r="V91" s="1155"/>
      <c r="W91" s="1155"/>
      <c r="X91" s="1155"/>
      <c r="Y91" s="1155"/>
      <c r="Z91" s="1155"/>
      <c r="AA91" s="1657"/>
      <c r="AB91" s="562"/>
      <c r="AC91" s="562"/>
      <c r="AD91" s="562"/>
      <c r="AE91" s="562"/>
    </row>
    <row s="1666" customFormat="1" customHeight="1" ht="11.25">
      <c r="A92" s="982"/>
      <c r="B92" s="1661"/>
      <c r="C92" s="1661"/>
      <c r="D92" s="339"/>
      <c r="K92" s="1155"/>
      <c r="L92" s="1661"/>
      <c r="M92" s="1661"/>
      <c r="N92" s="1155"/>
      <c r="O92" s="1155"/>
      <c r="P92" s="1155"/>
      <c r="Q92" s="1155"/>
      <c r="R92" s="1661"/>
      <c r="S92" s="1155"/>
      <c r="T92" s="1155"/>
      <c r="U92" s="540"/>
      <c r="V92" s="1155"/>
      <c r="W92" s="1155"/>
      <c r="X92" s="1155"/>
      <c r="Y92" s="1155"/>
      <c r="Z92" s="1155"/>
      <c r="AA92" s="1657"/>
      <c r="AB92" s="562"/>
      <c r="AC92" s="562"/>
      <c r="AD92" s="562"/>
      <c r="AE92" s="562"/>
    </row>
    <row s="1666" customFormat="1" customHeight="1" ht="11.25">
      <c r="A93" s="982"/>
      <c r="B93" s="1661"/>
      <c r="C93" s="1661"/>
      <c r="D93" s="339"/>
      <c r="K93" s="1155"/>
      <c r="L93" s="1661"/>
      <c r="M93" s="1661"/>
      <c r="N93" s="1155"/>
      <c r="O93" s="1155"/>
      <c r="P93" s="1155"/>
      <c r="Q93" s="1155"/>
      <c r="R93" s="1661"/>
      <c r="S93" s="1155"/>
      <c r="T93" s="1155"/>
      <c r="U93" s="540"/>
      <c r="V93" s="1155"/>
      <c r="W93" s="1155"/>
      <c r="X93" s="1155"/>
      <c r="Y93" s="1155"/>
      <c r="Z93" s="1155"/>
      <c r="AA93" s="1657"/>
      <c r="AB93" s="562"/>
      <c r="AC93" s="562"/>
      <c r="AD93" s="562"/>
      <c r="AE93" s="562"/>
    </row>
    <row s="1666" customFormat="1" customHeight="1" ht="11.25">
      <c r="A94" s="982"/>
      <c r="B94" s="1661"/>
      <c r="C94" s="1661"/>
      <c r="D94" s="339"/>
      <c r="K94" s="1155"/>
      <c r="L94" s="1661"/>
      <c r="M94" s="1661"/>
      <c r="N94" s="1155"/>
      <c r="O94" s="1155"/>
      <c r="P94" s="1155"/>
      <c r="Q94" s="1155"/>
      <c r="R94" s="1661"/>
      <c r="S94" s="1155"/>
      <c r="T94" s="1155"/>
      <c r="U94" s="540"/>
      <c r="V94" s="1155"/>
      <c r="W94" s="1155"/>
      <c r="X94" s="1155"/>
      <c r="Y94" s="1155"/>
      <c r="Z94" s="1155"/>
      <c r="AA94" s="1657"/>
      <c r="AB94" s="562"/>
      <c r="AC94" s="562"/>
      <c r="AD94" s="562"/>
      <c r="AE94" s="562"/>
    </row>
    <row s="1666" customFormat="1" customHeight="1" ht="11.25">
      <c r="A95" s="982"/>
      <c r="B95" s="1661"/>
      <c r="C95" s="1661"/>
      <c r="D95" s="339"/>
      <c r="K95" s="1155"/>
      <c r="L95" s="1661"/>
      <c r="M95" s="1661"/>
      <c r="N95" s="1155"/>
      <c r="O95" s="1155"/>
      <c r="P95" s="1155"/>
      <c r="Q95" s="1155"/>
      <c r="R95" s="1661"/>
      <c r="S95" s="1155"/>
      <c r="T95" s="1155"/>
      <c r="U95" s="540"/>
      <c r="V95" s="1155"/>
      <c r="W95" s="1155"/>
      <c r="X95" s="1155"/>
      <c r="Y95" s="1155"/>
      <c r="Z95" s="1155"/>
      <c r="AA95" s="1657"/>
      <c r="AB95" s="562"/>
      <c r="AC95" s="562"/>
      <c r="AD95" s="562"/>
      <c r="AE95" s="562"/>
    </row>
    <row s="1666" customFormat="1" customHeight="1" ht="11.25">
      <c r="A96" s="982"/>
      <c r="B96" s="1661"/>
      <c r="C96" s="1661"/>
      <c r="D96" s="339"/>
      <c r="K96" s="1155"/>
      <c r="L96" s="1661"/>
      <c r="M96" s="1661"/>
      <c r="N96" s="1155"/>
      <c r="O96" s="1155"/>
      <c r="P96" s="1155"/>
      <c r="Q96" s="1155"/>
      <c r="R96" s="1661"/>
      <c r="S96" s="1155"/>
      <c r="T96" s="1155"/>
      <c r="U96" s="540"/>
      <c r="V96" s="1155"/>
      <c r="W96" s="1155"/>
      <c r="X96" s="1155"/>
      <c r="Y96" s="1155"/>
      <c r="Z96" s="1155"/>
      <c r="AA96" s="1657"/>
      <c r="AB96" s="562"/>
      <c r="AC96" s="562"/>
      <c r="AD96" s="562"/>
      <c r="AE96" s="562"/>
    </row>
    <row s="1666" customFormat="1" customHeight="1" ht="11.25">
      <c r="A97" s="982"/>
      <c r="B97" s="1661"/>
      <c r="C97" s="1661"/>
      <c r="D97" s="339"/>
      <c r="K97" s="1155"/>
      <c r="L97" s="1661"/>
      <c r="M97" s="1661"/>
      <c r="N97" s="1155"/>
      <c r="O97" s="1155"/>
      <c r="P97" s="1155"/>
      <c r="Q97" s="1155"/>
      <c r="R97" s="1661"/>
      <c r="S97" s="1155"/>
      <c r="T97" s="1155"/>
      <c r="U97" s="540"/>
      <c r="V97" s="1155"/>
      <c r="W97" s="1155"/>
      <c r="X97" s="1155"/>
      <c r="Y97" s="1155"/>
      <c r="Z97" s="1155"/>
      <c r="AA97" s="1657"/>
      <c r="AB97" s="562"/>
      <c r="AC97" s="562"/>
      <c r="AD97" s="562"/>
      <c r="AE97" s="562"/>
    </row>
    <row s="1666" customFormat="1" customHeight="1" ht="11.25">
      <c r="A98" s="982"/>
      <c r="B98" s="1661"/>
      <c r="C98" s="1661"/>
      <c r="D98" s="339"/>
      <c r="K98" s="1155"/>
      <c r="L98" s="1661"/>
      <c r="M98" s="1661"/>
      <c r="N98" s="1155"/>
      <c r="O98" s="1155"/>
      <c r="P98" s="1155"/>
      <c r="Q98" s="1155"/>
      <c r="R98" s="1661"/>
      <c r="S98" s="1155"/>
      <c r="T98" s="1155"/>
      <c r="U98" s="540"/>
      <c r="V98" s="1155"/>
      <c r="W98" s="1155"/>
      <c r="X98" s="1155"/>
      <c r="Y98" s="1155"/>
      <c r="Z98" s="1155"/>
      <c r="AA98" s="1657"/>
      <c r="AB98" s="562"/>
      <c r="AC98" s="562"/>
      <c r="AD98" s="562"/>
      <c r="AE98" s="562"/>
    </row>
    <row s="1666" customFormat="1" customHeight="1" ht="11.25">
      <c r="A99" s="982"/>
      <c r="B99" s="1661"/>
      <c r="C99" s="1661"/>
      <c r="D99" s="339"/>
      <c r="K99" s="1155"/>
      <c r="L99" s="1661"/>
      <c r="M99" s="1661"/>
      <c r="N99" s="1155"/>
      <c r="O99" s="1155"/>
      <c r="P99" s="1155"/>
      <c r="Q99" s="1155"/>
      <c r="R99" s="1661"/>
      <c r="S99" s="1155"/>
      <c r="T99" s="1155"/>
      <c r="U99" s="540"/>
      <c r="V99" s="1155"/>
      <c r="W99" s="1155"/>
      <c r="X99" s="1155"/>
      <c r="Y99" s="1155"/>
      <c r="Z99" s="1155"/>
      <c r="AA99" s="1657"/>
      <c r="AB99" s="562"/>
      <c r="AC99" s="562"/>
      <c r="AD99" s="562"/>
      <c r="AE99" s="562"/>
    </row>
    <row s="1666" customFormat="1" customHeight="1" ht="11.25">
      <c r="A100" s="982"/>
      <c r="B100" s="1661"/>
      <c r="C100" s="1661"/>
      <c r="D100" s="339"/>
      <c r="K100" s="1155"/>
      <c r="L100" s="1661"/>
      <c r="M100" s="1661"/>
      <c r="N100" s="1155"/>
      <c r="O100" s="1155"/>
      <c r="P100" s="1155"/>
      <c r="Q100" s="1155"/>
      <c r="R100" s="1661"/>
      <c r="S100" s="1155"/>
      <c r="T100" s="1155"/>
      <c r="U100" s="540"/>
      <c r="V100" s="1155"/>
      <c r="W100" s="1155"/>
      <c r="X100" s="1155"/>
      <c r="Y100" s="1155"/>
      <c r="Z100" s="1155"/>
      <c r="AA100" s="1657"/>
      <c r="AB100" s="562"/>
      <c r="AC100" s="562"/>
      <c r="AD100" s="562"/>
      <c r="AE100" s="562"/>
    </row>
    <row s="1666" customFormat="1" customHeight="1" ht="11.25">
      <c r="A101" s="982"/>
      <c r="B101" s="1661"/>
      <c r="C101" s="1661"/>
      <c r="D101" s="339"/>
      <c r="K101" s="1155"/>
      <c r="L101" s="1661"/>
      <c r="M101" s="1661"/>
      <c r="N101" s="1155"/>
      <c r="O101" s="1155"/>
      <c r="P101" s="1155"/>
      <c r="Q101" s="1155"/>
      <c r="R101" s="1661"/>
      <c r="S101" s="1155"/>
      <c r="T101" s="1155"/>
      <c r="U101" s="540"/>
      <c r="V101" s="1155"/>
      <c r="W101" s="1155"/>
      <c r="X101" s="1155"/>
      <c r="Y101" s="1155"/>
      <c r="Z101" s="1155"/>
      <c r="AA101" s="1657"/>
      <c r="AB101" s="562"/>
      <c r="AC101" s="562"/>
      <c r="AD101" s="562"/>
      <c r="AE101" s="562"/>
    </row>
    <row s="1666" customFormat="1" customHeight="1" ht="11.25">
      <c r="A102" s="982"/>
      <c r="B102" s="1661"/>
      <c r="C102" s="1661"/>
      <c r="D102" s="339"/>
      <c r="K102" s="1155"/>
      <c r="L102" s="1661"/>
      <c r="M102" s="1661"/>
      <c r="N102" s="1155"/>
      <c r="O102" s="1155"/>
      <c r="P102" s="1155"/>
      <c r="Q102" s="1155"/>
      <c r="R102" s="1661"/>
      <c r="S102" s="1155"/>
      <c r="T102" s="1155"/>
      <c r="U102" s="540"/>
      <c r="V102" s="1155"/>
      <c r="W102" s="1155"/>
      <c r="X102" s="1155"/>
      <c r="Y102" s="1155"/>
      <c r="Z102" s="1155"/>
      <c r="AA102" s="1657"/>
      <c r="AB102" s="562"/>
      <c r="AC102" s="562"/>
      <c r="AD102" s="562"/>
      <c r="AE102" s="562"/>
    </row>
    <row s="1666" customFormat="1" customHeight="1" ht="11.25">
      <c r="A103" s="982"/>
      <c r="B103" s="1661"/>
      <c r="C103" s="1661"/>
      <c r="D103" s="339"/>
      <c r="K103" s="1155"/>
      <c r="L103" s="1661"/>
      <c r="M103" s="1661"/>
      <c r="N103" s="1155"/>
      <c r="O103" s="1155"/>
      <c r="P103" s="1155"/>
      <c r="Q103" s="1155"/>
      <c r="R103" s="1661"/>
      <c r="S103" s="1155"/>
      <c r="T103" s="1155"/>
      <c r="U103" s="540"/>
      <c r="V103" s="1155"/>
      <c r="W103" s="1155"/>
      <c r="X103" s="1155"/>
      <c r="Y103" s="1155"/>
      <c r="Z103" s="1155"/>
      <c r="AA103" s="1657"/>
      <c r="AB103" s="562"/>
      <c r="AC103" s="562"/>
      <c r="AD103" s="562"/>
      <c r="AE103" s="562"/>
    </row>
    <row s="1666" customFormat="1" customHeight="1" ht="11.25">
      <c r="A104" s="982"/>
      <c r="B104" s="1661"/>
      <c r="C104" s="1661"/>
      <c r="D104" s="339"/>
      <c r="K104" s="1155"/>
      <c r="L104" s="1661"/>
      <c r="M104" s="1661"/>
      <c r="N104" s="1155"/>
      <c r="O104" s="1155"/>
      <c r="P104" s="1155"/>
      <c r="Q104" s="1155"/>
      <c r="R104" s="1661"/>
      <c r="S104" s="1155"/>
      <c r="T104" s="1155"/>
      <c r="U104" s="540"/>
      <c r="V104" s="1155"/>
      <c r="W104" s="1155"/>
      <c r="X104" s="1155"/>
      <c r="Y104" s="1155"/>
      <c r="Z104" s="1155"/>
      <c r="AA104" s="1657"/>
      <c r="AB104" s="562"/>
      <c r="AC104" s="562"/>
      <c r="AD104" s="562"/>
      <c r="AE104" s="562"/>
    </row>
    <row s="1666" customFormat="1" customHeight="1" ht="11.25">
      <c r="A105" s="982"/>
      <c r="B105" s="1661"/>
      <c r="C105" s="1661"/>
      <c r="D105" s="339"/>
      <c r="K105" s="1155"/>
      <c r="L105" s="1661"/>
      <c r="M105" s="1661"/>
      <c r="N105" s="1155"/>
      <c r="O105" s="1155"/>
      <c r="P105" s="1155"/>
      <c r="Q105" s="1155"/>
      <c r="R105" s="1661"/>
      <c r="S105" s="1155"/>
      <c r="T105" s="1155"/>
      <c r="U105" s="540"/>
      <c r="V105" s="1155"/>
      <c r="W105" s="1155"/>
      <c r="X105" s="1155"/>
      <c r="Y105" s="1155"/>
      <c r="Z105" s="1155"/>
      <c r="AA105" s="1657"/>
      <c r="AB105" s="562"/>
      <c r="AC105" s="562"/>
      <c r="AD105" s="562"/>
      <c r="AE105" s="562"/>
    </row>
    <row s="1666" customFormat="1" customHeight="1" ht="11.25">
      <c r="A106" s="982"/>
      <c r="B106" s="1661"/>
      <c r="C106" s="1661"/>
      <c r="D106" s="339"/>
      <c r="K106" s="1155"/>
      <c r="L106" s="1661"/>
      <c r="M106" s="1661"/>
      <c r="N106" s="1155"/>
      <c r="O106" s="1155"/>
      <c r="P106" s="1155"/>
      <c r="Q106" s="1155"/>
      <c r="R106" s="1661"/>
      <c r="S106" s="1155"/>
      <c r="T106" s="1155"/>
      <c r="U106" s="540"/>
      <c r="V106" s="1155"/>
      <c r="W106" s="1155"/>
      <c r="X106" s="1155"/>
      <c r="Y106" s="1155"/>
      <c r="Z106" s="1155"/>
      <c r="AA106" s="1657"/>
      <c r="AB106" s="562"/>
      <c r="AC106" s="562"/>
      <c r="AD106" s="562"/>
      <c r="AE106" s="562"/>
    </row>
    <row s="1666" customFormat="1" customHeight="1" ht="11.25">
      <c r="A107" s="982"/>
      <c r="B107" s="1661"/>
      <c r="C107" s="1661"/>
      <c r="D107" s="339"/>
      <c r="K107" s="1155"/>
      <c r="L107" s="1661"/>
      <c r="M107" s="1661"/>
      <c r="N107" s="1155"/>
      <c r="O107" s="1155"/>
      <c r="P107" s="1155"/>
      <c r="Q107" s="1155"/>
      <c r="R107" s="1661"/>
      <c r="S107" s="1155"/>
      <c r="T107" s="1155"/>
      <c r="U107" s="540"/>
      <c r="V107" s="1155"/>
      <c r="W107" s="1155"/>
      <c r="X107" s="1155"/>
      <c r="Y107" s="1155"/>
      <c r="Z107" s="1155"/>
      <c r="AA107" s="1657"/>
      <c r="AB107" s="562"/>
      <c r="AC107" s="562"/>
      <c r="AD107" s="562"/>
      <c r="AE107" s="562"/>
    </row>
    <row s="1666" customFormat="1" customHeight="1" ht="11.25">
      <c r="A108" s="982"/>
      <c r="B108" s="1661"/>
      <c r="C108" s="1661"/>
      <c r="D108" s="339"/>
      <c r="K108" s="1155"/>
      <c r="L108" s="1661"/>
      <c r="M108" s="1661"/>
      <c r="N108" s="1155"/>
      <c r="O108" s="1155"/>
      <c r="P108" s="1155"/>
      <c r="Q108" s="1155"/>
      <c r="R108" s="1661"/>
      <c r="S108" s="1155"/>
      <c r="T108" s="1155"/>
      <c r="U108" s="540"/>
      <c r="V108" s="1155"/>
      <c r="W108" s="1155"/>
      <c r="X108" s="1155"/>
      <c r="Y108" s="1155"/>
      <c r="Z108" s="1155"/>
      <c r="AA108" s="1657"/>
      <c r="AB108" s="562"/>
      <c r="AC108" s="562"/>
      <c r="AD108" s="562"/>
      <c r="AE108" s="562"/>
    </row>
    <row s="1666" customFormat="1" customHeight="1" ht="11.25">
      <c r="A109" s="982"/>
      <c r="B109" s="1661"/>
      <c r="C109" s="1661"/>
      <c r="D109" s="339"/>
      <c r="K109" s="1155"/>
      <c r="L109" s="1661"/>
      <c r="M109" s="1661"/>
      <c r="N109" s="1155"/>
      <c r="O109" s="1155"/>
      <c r="P109" s="1155"/>
      <c r="Q109" s="1155"/>
      <c r="R109" s="1661"/>
      <c r="S109" s="1155"/>
      <c r="T109" s="1155"/>
      <c r="U109" s="540"/>
      <c r="V109" s="1155"/>
      <c r="W109" s="1155"/>
      <c r="X109" s="1155"/>
      <c r="Y109" s="1155"/>
      <c r="Z109" s="1155"/>
      <c r="AA109" s="1657"/>
      <c r="AB109" s="562"/>
      <c r="AC109" s="562"/>
      <c r="AD109" s="562"/>
      <c r="AE109" s="562"/>
    </row>
    <row s="1666" customFormat="1" customHeight="1" ht="11.25">
      <c r="A110" s="982"/>
      <c r="B110" s="1661"/>
      <c r="C110" s="1661"/>
      <c r="D110" s="339"/>
      <c r="K110" s="1155"/>
      <c r="L110" s="1661"/>
      <c r="M110" s="1661"/>
      <c r="N110" s="1155"/>
      <c r="O110" s="1155"/>
      <c r="P110" s="1155"/>
      <c r="Q110" s="1155"/>
      <c r="R110" s="1661"/>
      <c r="S110" s="1155"/>
      <c r="T110" s="1155"/>
      <c r="U110" s="540"/>
      <c r="V110" s="1155"/>
      <c r="W110" s="1155"/>
      <c r="X110" s="1155"/>
      <c r="Y110" s="1155"/>
      <c r="Z110" s="1155"/>
      <c r="AA110" s="1657"/>
      <c r="AB110" s="562"/>
      <c r="AC110" s="562"/>
      <c r="AD110" s="562"/>
      <c r="AE110" s="562"/>
    </row>
    <row s="1666" customFormat="1" customHeight="1" ht="11.25">
      <c r="A111" s="982"/>
      <c r="B111" s="1661"/>
      <c r="C111" s="1661"/>
      <c r="D111" s="339"/>
      <c r="K111" s="1155"/>
      <c r="L111" s="1661"/>
      <c r="M111" s="1661"/>
      <c r="N111" s="1155"/>
      <c r="O111" s="1155"/>
      <c r="P111" s="1155"/>
      <c r="Q111" s="1155"/>
      <c r="R111" s="1661"/>
      <c r="S111" s="1155"/>
      <c r="T111" s="1155"/>
      <c r="U111" s="540"/>
      <c r="V111" s="1155"/>
      <c r="W111" s="1155"/>
      <c r="X111" s="1155"/>
      <c r="Y111" s="1155"/>
      <c r="Z111" s="1155"/>
      <c r="AA111" s="1657"/>
      <c r="AB111" s="562"/>
      <c r="AC111" s="562"/>
      <c r="AD111" s="562"/>
      <c r="AE111" s="562"/>
    </row>
    <row s="1666" customFormat="1" customHeight="1" ht="11.25">
      <c r="A112" s="982"/>
      <c r="B112" s="1661"/>
      <c r="C112" s="1661"/>
      <c r="D112" s="339"/>
      <c r="K112" s="1155"/>
      <c r="L112" s="1661"/>
      <c r="M112" s="1661"/>
      <c r="N112" s="1155"/>
      <c r="O112" s="1155"/>
      <c r="P112" s="1155"/>
      <c r="Q112" s="1155"/>
      <c r="R112" s="1661"/>
      <c r="S112" s="1155"/>
      <c r="T112" s="1155"/>
      <c r="U112" s="540"/>
      <c r="V112" s="1155"/>
      <c r="W112" s="1155"/>
      <c r="X112" s="1155"/>
      <c r="Y112" s="1155"/>
      <c r="Z112" s="1155"/>
      <c r="AA112" s="1657"/>
      <c r="AB112" s="562"/>
      <c r="AC112" s="562"/>
      <c r="AD112" s="562"/>
      <c r="AE112" s="562"/>
    </row>
    <row s="1666" customFormat="1" customHeight="1" ht="11.25">
      <c r="A113" s="982"/>
      <c r="B113" s="1661"/>
      <c r="C113" s="1661"/>
      <c r="D113" s="339"/>
      <c r="K113" s="1155"/>
      <c r="L113" s="1661"/>
      <c r="M113" s="1661"/>
      <c r="N113" s="1155"/>
      <c r="O113" s="1155"/>
      <c r="P113" s="1155"/>
      <c r="Q113" s="1155"/>
      <c r="R113" s="1661"/>
      <c r="S113" s="1155"/>
      <c r="T113" s="1155"/>
      <c r="U113" s="540"/>
      <c r="V113" s="1155"/>
      <c r="W113" s="1155"/>
      <c r="X113" s="1155"/>
      <c r="Y113" s="1155"/>
      <c r="Z113" s="1155"/>
      <c r="AA113" s="1657"/>
      <c r="AB113" s="562"/>
      <c r="AC113" s="562"/>
      <c r="AD113" s="562"/>
      <c r="AE113" s="562"/>
    </row>
    <row s="1666" customFormat="1" customHeight="1" ht="11.25">
      <c r="A114" s="982"/>
      <c r="B114" s="1661"/>
      <c r="C114" s="1661"/>
      <c r="D114" s="339"/>
      <c r="K114" s="1155"/>
      <c r="L114" s="1661"/>
      <c r="M114" s="1661"/>
      <c r="N114" s="1155"/>
      <c r="O114" s="1155"/>
      <c r="P114" s="1155"/>
      <c r="Q114" s="1155"/>
      <c r="R114" s="1661"/>
      <c r="S114" s="1155"/>
      <c r="T114" s="1155"/>
      <c r="U114" s="540"/>
      <c r="V114" s="1155"/>
      <c r="W114" s="1155"/>
      <c r="X114" s="1155"/>
      <c r="Y114" s="1155"/>
      <c r="Z114" s="1155"/>
      <c r="AA114" s="1657"/>
      <c r="AB114" s="562"/>
      <c r="AC114" s="562"/>
      <c r="AD114" s="562"/>
      <c r="AE114" s="562"/>
    </row>
    <row s="1666" customFormat="1" customHeight="1" ht="11.25">
      <c r="A115" s="982"/>
      <c r="B115" s="1661"/>
      <c r="C115" s="1661"/>
      <c r="D115" s="339"/>
      <c r="K115" s="1155"/>
      <c r="L115" s="1661"/>
      <c r="M115" s="1661"/>
      <c r="N115" s="1155"/>
      <c r="O115" s="1155"/>
      <c r="P115" s="1155"/>
      <c r="Q115" s="1155"/>
      <c r="R115" s="1661"/>
      <c r="S115" s="1155"/>
      <c r="T115" s="1155"/>
      <c r="U115" s="540"/>
      <c r="V115" s="1155"/>
      <c r="W115" s="1155"/>
      <c r="X115" s="1155"/>
      <c r="Y115" s="1155"/>
      <c r="Z115" s="1155"/>
      <c r="AA115" s="1657"/>
      <c r="AB115" s="562"/>
      <c r="AC115" s="562"/>
      <c r="AD115" s="562"/>
      <c r="AE115" s="562"/>
    </row>
    <row s="1666" customFormat="1" customHeight="1" ht="11.25">
      <c r="A116" s="982"/>
      <c r="B116" s="1661"/>
      <c r="C116" s="1661"/>
      <c r="D116" s="339"/>
      <c r="K116" s="1155"/>
      <c r="L116" s="1661"/>
      <c r="M116" s="1661"/>
      <c r="N116" s="1155"/>
      <c r="O116" s="1155"/>
      <c r="P116" s="1155"/>
      <c r="Q116" s="1155"/>
      <c r="R116" s="1661"/>
      <c r="S116" s="1155"/>
      <c r="T116" s="1155"/>
      <c r="U116" s="540"/>
      <c r="V116" s="1155"/>
      <c r="W116" s="1155"/>
      <c r="X116" s="1155"/>
      <c r="Y116" s="1155"/>
      <c r="Z116" s="1155"/>
      <c r="AA116" s="1657"/>
      <c r="AB116" s="562"/>
      <c r="AC116" s="562"/>
      <c r="AD116" s="562"/>
      <c r="AE116" s="562"/>
    </row>
    <row s="1666" customFormat="1" customHeight="1" ht="11.25">
      <c r="A117" s="982"/>
      <c r="B117" s="1661"/>
      <c r="C117" s="1661"/>
      <c r="D117" s="339"/>
      <c r="K117" s="1155"/>
      <c r="L117" s="1661"/>
      <c r="M117" s="1661"/>
      <c r="N117" s="1155"/>
      <c r="O117" s="1155"/>
      <c r="P117" s="1155"/>
      <c r="Q117" s="1155"/>
      <c r="R117" s="1661"/>
      <c r="S117" s="1155"/>
      <c r="T117" s="1155"/>
      <c r="U117" s="540"/>
      <c r="V117" s="1155"/>
      <c r="W117" s="1155"/>
      <c r="X117" s="1155"/>
      <c r="Y117" s="1155"/>
      <c r="Z117" s="1155"/>
      <c r="AA117" s="1657"/>
      <c r="AB117" s="562"/>
      <c r="AC117" s="562"/>
      <c r="AD117" s="562"/>
      <c r="AE117" s="562"/>
    </row>
    <row s="1666" customFormat="1" customHeight="1" ht="11.25">
      <c r="A118" s="982"/>
      <c r="B118" s="1661"/>
      <c r="C118" s="1661"/>
      <c r="D118" s="339"/>
      <c r="K118" s="1155"/>
      <c r="L118" s="1661"/>
      <c r="M118" s="1661"/>
      <c r="N118" s="1155"/>
      <c r="O118" s="1155"/>
      <c r="P118" s="1155"/>
      <c r="Q118" s="1155"/>
      <c r="R118" s="1661"/>
      <c r="S118" s="1155"/>
      <c r="T118" s="1155"/>
      <c r="U118" s="540"/>
      <c r="V118" s="1155"/>
      <c r="W118" s="1155"/>
      <c r="X118" s="1155"/>
      <c r="Y118" s="1155"/>
      <c r="Z118" s="1155"/>
      <c r="AA118" s="1657"/>
      <c r="AB118" s="562"/>
      <c r="AC118" s="562"/>
      <c r="AD118" s="562"/>
      <c r="AE118" s="562"/>
    </row>
    <row s="1666" customFormat="1" customHeight="1" ht="11.25">
      <c r="A119" s="982"/>
      <c r="B119" s="1661"/>
      <c r="C119" s="1661"/>
      <c r="D119" s="339"/>
      <c r="K119" s="1155"/>
      <c r="L119" s="1661"/>
      <c r="M119" s="1661"/>
      <c r="N119" s="1155"/>
      <c r="O119" s="1155"/>
      <c r="P119" s="1155"/>
      <c r="Q119" s="1155"/>
      <c r="R119" s="1661"/>
      <c r="S119" s="1155"/>
      <c r="T119" s="1155"/>
      <c r="U119" s="540"/>
      <c r="V119" s="1155"/>
      <c r="W119" s="1155"/>
      <c r="X119" s="1155"/>
      <c r="Y119" s="1155"/>
      <c r="Z119" s="1155"/>
      <c r="AA119" s="1657"/>
      <c r="AB119" s="562"/>
      <c r="AC119" s="562"/>
      <c r="AD119" s="562"/>
      <c r="AE119" s="562"/>
    </row>
    <row s="1666" customFormat="1" customHeight="1" ht="11.25">
      <c r="A120" s="982"/>
      <c r="B120" s="1661"/>
      <c r="C120" s="1661"/>
      <c r="D120" s="339"/>
      <c r="K120" s="1155"/>
      <c r="L120" s="1661"/>
      <c r="M120" s="1661"/>
      <c r="N120" s="1155"/>
      <c r="O120" s="1155"/>
      <c r="P120" s="1155"/>
      <c r="Q120" s="1155"/>
      <c r="R120" s="1661"/>
      <c r="S120" s="1155"/>
      <c r="T120" s="1155"/>
      <c r="U120" s="540"/>
      <c r="V120" s="1155"/>
      <c r="W120" s="1155"/>
      <c r="X120" s="1155"/>
      <c r="Y120" s="1155"/>
      <c r="Z120" s="1155"/>
      <c r="AA120" s="1657"/>
      <c r="AB120" s="562"/>
      <c r="AC120" s="562"/>
      <c r="AD120" s="562"/>
      <c r="AE120" s="562"/>
    </row>
    <row s="1666" customFormat="1" customHeight="1" ht="11.25">
      <c r="A121" s="982"/>
      <c r="B121" s="1661"/>
      <c r="C121" s="1661"/>
      <c r="D121" s="339"/>
      <c r="K121" s="1155"/>
      <c r="L121" s="1661"/>
      <c r="M121" s="1661"/>
      <c r="N121" s="1155"/>
      <c r="O121" s="1155"/>
      <c r="P121" s="1155"/>
      <c r="Q121" s="1155"/>
      <c r="R121" s="1661"/>
      <c r="S121" s="1155"/>
      <c r="T121" s="1155"/>
      <c r="U121" s="540"/>
      <c r="V121" s="1155"/>
      <c r="W121" s="1155"/>
      <c r="X121" s="1155"/>
      <c r="Y121" s="1155"/>
      <c r="Z121" s="1155"/>
      <c r="AA121" s="1657"/>
      <c r="AB121" s="562"/>
      <c r="AC121" s="562"/>
      <c r="AD121" s="562"/>
      <c r="AE121" s="562"/>
    </row>
    <row s="1666" customFormat="1" customHeight="1" ht="11.25">
      <c r="A122" s="982"/>
      <c r="B122" s="1661"/>
      <c r="C122" s="1661"/>
      <c r="D122" s="339"/>
      <c r="K122" s="1155"/>
      <c r="L122" s="1661"/>
      <c r="M122" s="1661"/>
      <c r="N122" s="1155"/>
      <c r="O122" s="1155"/>
      <c r="P122" s="1155"/>
      <c r="Q122" s="1155"/>
      <c r="R122" s="1661"/>
      <c r="S122" s="1155"/>
      <c r="T122" s="1155"/>
      <c r="U122" s="540"/>
      <c r="V122" s="1155"/>
      <c r="W122" s="1155"/>
      <c r="X122" s="1155"/>
      <c r="Y122" s="1155"/>
      <c r="Z122" s="1155"/>
      <c r="AA122" s="1657"/>
      <c r="AB122" s="562"/>
      <c r="AC122" s="562"/>
      <c r="AD122" s="562"/>
      <c r="AE122" s="562"/>
    </row>
    <row s="1666" customFormat="1" customHeight="1" ht="11.25">
      <c r="A123" s="982"/>
      <c r="B123" s="1661"/>
      <c r="C123" s="1661"/>
      <c r="D123" s="339"/>
      <c r="K123" s="1155"/>
      <c r="L123" s="1661"/>
      <c r="M123" s="1661"/>
      <c r="N123" s="1155"/>
      <c r="O123" s="1155"/>
      <c r="P123" s="1155"/>
      <c r="Q123" s="1155"/>
      <c r="R123" s="1661"/>
      <c r="S123" s="1155"/>
      <c r="T123" s="1155"/>
      <c r="U123" s="540"/>
      <c r="V123" s="1155"/>
      <c r="W123" s="1155"/>
      <c r="X123" s="1155"/>
      <c r="Y123" s="1155"/>
      <c r="Z123" s="1155"/>
      <c r="AA123" s="1657"/>
      <c r="AB123" s="562"/>
      <c r="AC123" s="562"/>
      <c r="AD123" s="562"/>
      <c r="AE123" s="562"/>
    </row>
    <row s="1666" customFormat="1" customHeight="1" ht="11.25">
      <c r="A124" s="982"/>
      <c r="B124" s="1661"/>
      <c r="C124" s="1661"/>
      <c r="D124" s="339"/>
      <c r="K124" s="1155"/>
      <c r="L124" s="1661"/>
      <c r="M124" s="1661"/>
      <c r="N124" s="1155"/>
      <c r="O124" s="1155"/>
      <c r="P124" s="1155"/>
      <c r="Q124" s="1155"/>
      <c r="R124" s="1661"/>
      <c r="S124" s="1155"/>
      <c r="T124" s="1155"/>
      <c r="U124" s="540"/>
      <c r="V124" s="1155"/>
      <c r="W124" s="1155"/>
      <c r="X124" s="1155"/>
      <c r="Y124" s="1155"/>
      <c r="Z124" s="1155"/>
      <c r="AA124" s="1657"/>
      <c r="AB124" s="562"/>
      <c r="AC124" s="562"/>
      <c r="AD124" s="562"/>
      <c r="AE124" s="562"/>
    </row>
    <row s="1666" customFormat="1" customHeight="1" ht="11.25">
      <c r="A125" s="982"/>
      <c r="B125" s="1661"/>
      <c r="C125" s="1661"/>
      <c r="D125" s="339"/>
      <c r="K125" s="1155"/>
      <c r="L125" s="1661"/>
      <c r="M125" s="1661"/>
      <c r="N125" s="1155"/>
      <c r="O125" s="1155"/>
      <c r="P125" s="1155"/>
      <c r="Q125" s="1155"/>
      <c r="R125" s="1661"/>
      <c r="S125" s="1155"/>
      <c r="T125" s="1155"/>
      <c r="U125" s="540"/>
      <c r="V125" s="1155"/>
      <c r="W125" s="1155"/>
      <c r="X125" s="1155"/>
      <c r="Y125" s="1155"/>
      <c r="Z125" s="1155"/>
      <c r="AA125" s="1657"/>
      <c r="AB125" s="562"/>
      <c r="AC125" s="562"/>
      <c r="AD125" s="562"/>
      <c r="AE125" s="562"/>
    </row>
    <row s="1666" customFormat="1" customHeight="1" ht="11.25">
      <c r="A126" s="982"/>
      <c r="B126" s="1661"/>
      <c r="C126" s="1661"/>
      <c r="D126" s="339"/>
      <c r="K126" s="1155"/>
      <c r="L126" s="1661"/>
      <c r="M126" s="1661"/>
      <c r="N126" s="1155"/>
      <c r="O126" s="1155"/>
      <c r="P126" s="1155"/>
      <c r="Q126" s="1155"/>
      <c r="R126" s="1661"/>
      <c r="S126" s="1155"/>
      <c r="T126" s="1155"/>
      <c r="U126" s="540"/>
      <c r="V126" s="1155"/>
      <c r="W126" s="1155"/>
      <c r="X126" s="1155"/>
      <c r="Y126" s="1155"/>
      <c r="Z126" s="1155"/>
      <c r="AA126" s="1657"/>
      <c r="AB126" s="562"/>
      <c r="AC126" s="562"/>
      <c r="AD126" s="562"/>
      <c r="AE126" s="562"/>
    </row>
    <row s="1666" customFormat="1" customHeight="1" ht="11.25">
      <c r="A127" s="982"/>
      <c r="B127" s="1661"/>
      <c r="C127" s="1661"/>
      <c r="D127" s="339"/>
      <c r="K127" s="1155"/>
      <c r="L127" s="1661"/>
      <c r="M127" s="1661"/>
      <c r="N127" s="1155"/>
      <c r="O127" s="1155"/>
      <c r="P127" s="1155"/>
      <c r="Q127" s="1155"/>
      <c r="R127" s="1661"/>
      <c r="S127" s="1155"/>
      <c r="T127" s="1155"/>
      <c r="U127" s="540"/>
      <c r="V127" s="1155"/>
      <c r="W127" s="1155"/>
      <c r="X127" s="1155"/>
      <c r="Y127" s="1155"/>
      <c r="Z127" s="1155"/>
      <c r="AA127" s="1657"/>
      <c r="AB127" s="562"/>
      <c r="AC127" s="562"/>
      <c r="AD127" s="562"/>
      <c r="AE127" s="562"/>
    </row>
    <row s="1666" customFormat="1" customHeight="1" ht="11.25">
      <c r="A128" s="982"/>
      <c r="B128" s="1661"/>
      <c r="C128" s="1661"/>
      <c r="D128" s="339"/>
      <c r="K128" s="1155"/>
      <c r="L128" s="1661"/>
      <c r="M128" s="1661"/>
      <c r="N128" s="1155"/>
      <c r="O128" s="1155"/>
      <c r="P128" s="1155"/>
      <c r="Q128" s="1155"/>
      <c r="R128" s="1661"/>
      <c r="S128" s="1155"/>
      <c r="T128" s="1155"/>
      <c r="U128" s="540"/>
      <c r="V128" s="1155"/>
      <c r="W128" s="1155"/>
      <c r="X128" s="1155"/>
      <c r="Y128" s="1155"/>
      <c r="Z128" s="1155"/>
      <c r="AA128" s="1657"/>
      <c r="AB128" s="562"/>
      <c r="AC128" s="562"/>
      <c r="AD128" s="562"/>
      <c r="AE128" s="562"/>
    </row>
    <row s="1666" customFormat="1" customHeight="1" ht="11.25">
      <c r="A129" s="982"/>
      <c r="B129" s="1661"/>
      <c r="C129" s="1661"/>
      <c r="D129" s="339"/>
      <c r="K129" s="1155"/>
      <c r="L129" s="1661"/>
      <c r="M129" s="1661"/>
      <c r="N129" s="1155"/>
      <c r="O129" s="1155"/>
      <c r="P129" s="1155"/>
      <c r="Q129" s="1155"/>
      <c r="R129" s="1661"/>
      <c r="S129" s="1155"/>
      <c r="T129" s="1155"/>
      <c r="U129" s="540"/>
      <c r="V129" s="1155"/>
      <c r="W129" s="1155"/>
      <c r="X129" s="1155"/>
      <c r="Y129" s="1155"/>
      <c r="Z129" s="1155"/>
      <c r="AA129" s="1657"/>
      <c r="AB129" s="562"/>
      <c r="AC129" s="562"/>
      <c r="AD129" s="562"/>
      <c r="AE129" s="562"/>
    </row>
    <row s="1666" customFormat="1" customHeight="1" ht="11.25">
      <c r="A130" s="982"/>
      <c r="B130" s="1661"/>
      <c r="C130" s="1661"/>
      <c r="D130" s="339"/>
      <c r="K130" s="1155"/>
      <c r="L130" s="1661"/>
      <c r="M130" s="1661"/>
      <c r="N130" s="1155"/>
      <c r="O130" s="1155"/>
      <c r="P130" s="1155"/>
      <c r="Q130" s="1155"/>
      <c r="R130" s="1661"/>
      <c r="S130" s="1155"/>
      <c r="T130" s="1155"/>
      <c r="U130" s="540"/>
      <c r="V130" s="1155"/>
      <c r="W130" s="1155"/>
      <c r="X130" s="1155"/>
      <c r="Y130" s="1155"/>
      <c r="Z130" s="1155"/>
      <c r="AA130" s="1657"/>
      <c r="AB130" s="562"/>
      <c r="AC130" s="562"/>
      <c r="AD130" s="562"/>
      <c r="AE130" s="562"/>
    </row>
    <row s="1666" customFormat="1" customHeight="1" ht="11.25">
      <c r="A131" s="982"/>
      <c r="B131" s="1661"/>
      <c r="C131" s="1661"/>
      <c r="D131" s="339"/>
      <c r="K131" s="1155"/>
      <c r="L131" s="1661"/>
      <c r="M131" s="1661"/>
      <c r="N131" s="1155"/>
      <c r="O131" s="1155"/>
      <c r="P131" s="1155"/>
      <c r="Q131" s="1155"/>
      <c r="R131" s="1661"/>
      <c r="S131" s="1155"/>
      <c r="T131" s="1155"/>
      <c r="U131" s="540"/>
      <c r="V131" s="1155"/>
      <c r="W131" s="1155"/>
      <c r="X131" s="1155"/>
      <c r="Y131" s="1155"/>
      <c r="Z131" s="1155"/>
      <c r="AA131" s="1657"/>
      <c r="AB131" s="562"/>
      <c r="AC131" s="562"/>
      <c r="AD131" s="562"/>
      <c r="AE131" s="562"/>
    </row>
    <row s="1666" customFormat="1" customHeight="1" ht="11.25">
      <c r="A132" s="982"/>
      <c r="B132" s="1661"/>
      <c r="C132" s="1661"/>
      <c r="D132" s="339"/>
      <c r="K132" s="1155"/>
      <c r="L132" s="1661"/>
      <c r="M132" s="1661"/>
      <c r="N132" s="1155"/>
      <c r="O132" s="1155"/>
      <c r="P132" s="1155"/>
      <c r="Q132" s="1155"/>
      <c r="R132" s="1661"/>
      <c r="S132" s="1155"/>
      <c r="T132" s="1155"/>
      <c r="U132" s="540"/>
      <c r="V132" s="1155"/>
      <c r="W132" s="1155"/>
      <c r="X132" s="1155"/>
      <c r="Y132" s="1155"/>
      <c r="Z132" s="1155"/>
      <c r="AA132" s="1657"/>
      <c r="AB132" s="562"/>
      <c r="AC132" s="562"/>
      <c r="AD132" s="562"/>
      <c r="AE132" s="562"/>
    </row>
    <row s="1666" customFormat="1" customHeight="1" ht="11.25">
      <c r="A133" s="982"/>
      <c r="B133" s="1661"/>
      <c r="C133" s="1661"/>
      <c r="D133" s="339"/>
      <c r="K133" s="1155"/>
      <c r="L133" s="1661"/>
      <c r="M133" s="1661"/>
      <c r="N133" s="1155"/>
      <c r="O133" s="1155"/>
      <c r="P133" s="1155"/>
      <c r="Q133" s="1155"/>
      <c r="R133" s="1661"/>
      <c r="S133" s="1155"/>
      <c r="T133" s="1155"/>
      <c r="U133" s="540"/>
      <c r="V133" s="1155"/>
      <c r="W133" s="1155"/>
      <c r="X133" s="1155"/>
      <c r="Y133" s="1155"/>
      <c r="Z133" s="1155"/>
      <c r="AA133" s="1657"/>
      <c r="AB133" s="562"/>
      <c r="AC133" s="562"/>
      <c r="AD133" s="562"/>
      <c r="AE133" s="562"/>
    </row>
    <row s="1666" customFormat="1" customHeight="1" ht="11.25">
      <c r="A134" s="982"/>
      <c r="B134" s="1661"/>
      <c r="C134" s="1661"/>
      <c r="D134" s="339"/>
      <c r="K134" s="1155"/>
      <c r="L134" s="1661"/>
      <c r="M134" s="1661"/>
      <c r="N134" s="1155"/>
      <c r="O134" s="1155"/>
      <c r="P134" s="1155"/>
      <c r="Q134" s="1155"/>
      <c r="R134" s="1661"/>
      <c r="S134" s="1155"/>
      <c r="T134" s="1155"/>
      <c r="U134" s="540"/>
      <c r="V134" s="1155"/>
      <c r="W134" s="1155"/>
      <c r="X134" s="1155"/>
      <c r="Y134" s="1155"/>
      <c r="Z134" s="1155"/>
      <c r="AA134" s="1657"/>
      <c r="AB134" s="562"/>
      <c r="AC134" s="562"/>
      <c r="AD134" s="562"/>
      <c r="AE134" s="562"/>
    </row>
    <row s="1666" customFormat="1" customHeight="1" ht="11.25">
      <c r="A135" s="982"/>
      <c r="B135" s="1661"/>
      <c r="C135" s="1661"/>
      <c r="D135" s="339"/>
      <c r="K135" s="1155"/>
      <c r="L135" s="1661"/>
      <c r="M135" s="1661"/>
      <c r="N135" s="1155"/>
      <c r="O135" s="1155"/>
      <c r="P135" s="1155"/>
      <c r="Q135" s="1155"/>
      <c r="R135" s="1661"/>
      <c r="S135" s="1155"/>
      <c r="T135" s="1155"/>
      <c r="U135" s="540"/>
      <c r="V135" s="1155"/>
      <c r="W135" s="1155"/>
      <c r="X135" s="1155"/>
      <c r="Y135" s="1155"/>
      <c r="Z135" s="1155"/>
      <c r="AA135" s="1657"/>
      <c r="AB135" s="562"/>
      <c r="AC135" s="562"/>
      <c r="AD135" s="562"/>
      <c r="AE135" s="562"/>
    </row>
    <row s="1666" customFormat="1" customHeight="1" ht="11.25">
      <c r="A136" s="982"/>
      <c r="B136" s="1661"/>
      <c r="C136" s="1661"/>
      <c r="D136" s="339"/>
      <c r="K136" s="1155"/>
      <c r="L136" s="1661"/>
      <c r="M136" s="1661"/>
      <c r="N136" s="1155"/>
      <c r="O136" s="1155"/>
      <c r="P136" s="1155"/>
      <c r="Q136" s="1155"/>
      <c r="R136" s="1661"/>
      <c r="S136" s="1155"/>
      <c r="T136" s="1155"/>
      <c r="U136" s="540"/>
      <c r="V136" s="1155"/>
      <c r="W136" s="1155"/>
      <c r="X136" s="1155"/>
      <c r="Y136" s="1155"/>
      <c r="Z136" s="1155"/>
      <c r="AA136" s="1657"/>
      <c r="AB136" s="562"/>
      <c r="AC136" s="562"/>
      <c r="AD136" s="562"/>
      <c r="AE136" s="562"/>
    </row>
    <row s="1666" customFormat="1" customHeight="1" ht="11.25">
      <c r="A137" s="982"/>
      <c r="B137" s="1661"/>
      <c r="C137" s="1661"/>
      <c r="D137" s="339"/>
      <c r="K137" s="1155"/>
      <c r="L137" s="1661"/>
      <c r="M137" s="1661"/>
      <c r="N137" s="1155"/>
      <c r="O137" s="1155"/>
      <c r="P137" s="1155"/>
      <c r="Q137" s="1155"/>
      <c r="R137" s="1661"/>
      <c r="S137" s="1155"/>
      <c r="T137" s="1155"/>
      <c r="U137" s="540"/>
      <c r="V137" s="1155"/>
      <c r="W137" s="1155"/>
      <c r="X137" s="1155"/>
      <c r="Y137" s="1155"/>
      <c r="Z137" s="1155"/>
      <c r="AA137" s="1657"/>
      <c r="AB137" s="562"/>
      <c r="AC137" s="562"/>
      <c r="AD137" s="562"/>
      <c r="AE137" s="562"/>
    </row>
    <row s="1666" customFormat="1" customHeight="1" ht="11.25">
      <c r="A138" s="982"/>
      <c r="B138" s="1661"/>
      <c r="C138" s="1661"/>
      <c r="D138" s="339"/>
      <c r="K138" s="1155"/>
      <c r="L138" s="1661"/>
      <c r="M138" s="1661"/>
      <c r="N138" s="1155"/>
      <c r="O138" s="1155"/>
      <c r="P138" s="1155"/>
      <c r="Q138" s="1155"/>
      <c r="R138" s="1661"/>
      <c r="S138" s="1155"/>
      <c r="T138" s="1155"/>
      <c r="U138" s="540"/>
      <c r="V138" s="1155"/>
      <c r="W138" s="1155"/>
      <c r="X138" s="1155"/>
      <c r="Y138" s="1155"/>
      <c r="Z138" s="1155"/>
      <c r="AA138" s="1657"/>
      <c r="AB138" s="562"/>
      <c r="AC138" s="562"/>
      <c r="AD138" s="562"/>
      <c r="AE138" s="562"/>
    </row>
    <row s="1666" customFormat="1" customHeight="1" ht="11.25">
      <c r="A139" s="982"/>
      <c r="B139" s="1661"/>
      <c r="C139" s="1661"/>
      <c r="D139" s="339"/>
      <c r="K139" s="1155"/>
      <c r="L139" s="1661"/>
      <c r="M139" s="1661"/>
      <c r="N139" s="1155"/>
      <c r="O139" s="1155"/>
      <c r="P139" s="1155"/>
      <c r="Q139" s="1155"/>
      <c r="R139" s="1661"/>
      <c r="S139" s="1155"/>
      <c r="T139" s="1155"/>
      <c r="U139" s="540"/>
      <c r="V139" s="1155"/>
      <c r="W139" s="1155"/>
      <c r="X139" s="1155"/>
      <c r="Y139" s="1155"/>
      <c r="Z139" s="1155"/>
      <c r="AA139" s="1657"/>
      <c r="AB139" s="562"/>
      <c r="AC139" s="562"/>
      <c r="AD139" s="562"/>
      <c r="AE139" s="562"/>
    </row>
    <row s="1666" customFormat="1" customHeight="1" ht="11.25">
      <c r="A140" s="982"/>
      <c r="B140" s="1661"/>
      <c r="C140" s="1661"/>
      <c r="D140" s="339"/>
      <c r="K140" s="1155"/>
      <c r="L140" s="1661"/>
      <c r="M140" s="1661"/>
      <c r="N140" s="1155"/>
      <c r="O140" s="1155"/>
      <c r="P140" s="1155"/>
      <c r="Q140" s="1155"/>
      <c r="R140" s="1661"/>
      <c r="S140" s="1155"/>
      <c r="T140" s="1155"/>
      <c r="U140" s="540"/>
      <c r="V140" s="1155"/>
      <c r="W140" s="1155"/>
      <c r="X140" s="1155"/>
      <c r="Y140" s="1155"/>
      <c r="Z140" s="1155"/>
      <c r="AA140" s="1657"/>
      <c r="AB140" s="562"/>
      <c r="AC140" s="562"/>
      <c r="AD140" s="562"/>
      <c r="AE140" s="562"/>
    </row>
    <row s="1666" customFormat="1" customHeight="1" ht="11.25">
      <c r="A141" s="982"/>
      <c r="B141" s="1661"/>
      <c r="C141" s="1661"/>
      <c r="D141" s="339"/>
      <c r="K141" s="1155"/>
      <c r="L141" s="1661"/>
      <c r="M141" s="1661"/>
      <c r="N141" s="1155"/>
      <c r="O141" s="1155"/>
      <c r="P141" s="1155"/>
      <c r="Q141" s="1155"/>
      <c r="R141" s="1661"/>
      <c r="S141" s="1155"/>
      <c r="T141" s="1155"/>
      <c r="U141" s="540"/>
      <c r="V141" s="1155"/>
      <c r="W141" s="1155"/>
      <c r="X141" s="1155"/>
      <c r="Y141" s="1155"/>
      <c r="Z141" s="1155"/>
      <c r="AA141" s="1657"/>
      <c r="AB141" s="562"/>
      <c r="AC141" s="562"/>
      <c r="AD141" s="562"/>
      <c r="AE141" s="562"/>
    </row>
    <row s="1666" customFormat="1" customHeight="1" ht="11.25">
      <c r="A142" s="982"/>
      <c r="B142" s="1661"/>
      <c r="C142" s="1661"/>
      <c r="D142" s="339"/>
      <c r="K142" s="1155"/>
      <c r="L142" s="1661"/>
      <c r="M142" s="1661"/>
      <c r="N142" s="1155"/>
      <c r="O142" s="1155"/>
      <c r="P142" s="1155"/>
      <c r="Q142" s="1155"/>
      <c r="R142" s="1661"/>
      <c r="S142" s="1155"/>
      <c r="T142" s="1155"/>
      <c r="U142" s="540"/>
      <c r="V142" s="1155"/>
      <c r="W142" s="1155"/>
      <c r="X142" s="1155"/>
      <c r="Y142" s="1155"/>
      <c r="Z142" s="1155"/>
      <c r="AA142" s="1657"/>
      <c r="AB142" s="562"/>
      <c r="AC142" s="562"/>
      <c r="AD142" s="562"/>
      <c r="AE142" s="562"/>
    </row>
    <row s="1666" customFormat="1" customHeight="1" ht="11.25">
      <c r="A143" s="982"/>
      <c r="B143" s="1661"/>
      <c r="C143" s="1661"/>
      <c r="D143" s="339"/>
      <c r="K143" s="1155"/>
      <c r="L143" s="1661"/>
      <c r="M143" s="1661"/>
      <c r="N143" s="1155"/>
      <c r="O143" s="1155"/>
      <c r="P143" s="1155"/>
      <c r="Q143" s="1155"/>
      <c r="R143" s="1661"/>
      <c r="S143" s="1155"/>
      <c r="T143" s="1155"/>
      <c r="U143" s="540"/>
      <c r="V143" s="1155"/>
      <c r="W143" s="1155"/>
      <c r="X143" s="1155"/>
      <c r="Y143" s="1155"/>
      <c r="Z143" s="1155"/>
      <c r="AA143" s="1657"/>
      <c r="AB143" s="562"/>
      <c r="AC143" s="562"/>
      <c r="AD143" s="562"/>
      <c r="AE143" s="562"/>
    </row>
    <row s="1666" customFormat="1" customHeight="1" ht="11.25">
      <c r="A144" s="982"/>
      <c r="B144" s="1661"/>
      <c r="C144" s="1661"/>
      <c r="D144" s="339"/>
      <c r="K144" s="1155"/>
      <c r="L144" s="1661"/>
      <c r="M144" s="1661"/>
      <c r="N144" s="1155"/>
      <c r="O144" s="1155"/>
      <c r="P144" s="1155"/>
      <c r="Q144" s="1155"/>
      <c r="R144" s="1661"/>
      <c r="S144" s="1155"/>
      <c r="T144" s="1155"/>
      <c r="U144" s="540"/>
      <c r="V144" s="1155"/>
      <c r="W144" s="1155"/>
      <c r="X144" s="1155"/>
      <c r="Y144" s="1155"/>
      <c r="Z144" s="1155"/>
      <c r="AA144" s="1657"/>
      <c r="AB144" s="562"/>
      <c r="AC144" s="562"/>
      <c r="AD144" s="562"/>
      <c r="AE144" s="562"/>
    </row>
    <row s="1666" customFormat="1" customHeight="1" ht="11.25">
      <c r="A145" s="982"/>
      <c r="B145" s="1661"/>
      <c r="C145" s="1661"/>
      <c r="D145" s="339"/>
      <c r="K145" s="1155"/>
      <c r="L145" s="1661"/>
      <c r="M145" s="1661"/>
      <c r="N145" s="1155"/>
      <c r="O145" s="1155"/>
      <c r="P145" s="1155"/>
      <c r="Q145" s="1155"/>
      <c r="R145" s="1661"/>
      <c r="S145" s="1155"/>
      <c r="T145" s="1155"/>
      <c r="U145" s="540"/>
      <c r="V145" s="1155"/>
      <c r="W145" s="1155"/>
      <c r="X145" s="1155"/>
      <c r="Y145" s="1155"/>
      <c r="Z145" s="1155"/>
      <c r="AA145" s="1657"/>
      <c r="AB145" s="562"/>
      <c r="AC145" s="562"/>
      <c r="AD145" s="562"/>
      <c r="AE145" s="562"/>
    </row>
    <row s="1666" customFormat="1" customHeight="1" ht="11.25">
      <c r="A146" s="982"/>
      <c r="B146" s="1661"/>
      <c r="C146" s="1661"/>
      <c r="D146" s="339"/>
      <c r="K146" s="1155"/>
      <c r="L146" s="1661"/>
      <c r="M146" s="1661"/>
      <c r="N146" s="1155"/>
      <c r="O146" s="1155"/>
      <c r="P146" s="1155"/>
      <c r="Q146" s="1155"/>
      <c r="R146" s="1661"/>
      <c r="S146" s="1155"/>
      <c r="T146" s="1155"/>
      <c r="U146" s="540"/>
      <c r="V146" s="1155"/>
      <c r="W146" s="1155"/>
      <c r="X146" s="1155"/>
      <c r="Y146" s="1155"/>
      <c r="Z146" s="1155"/>
      <c r="AA146" s="1657"/>
      <c r="AB146" s="562"/>
      <c r="AC146" s="562"/>
      <c r="AD146" s="562"/>
      <c r="AE146" s="562"/>
    </row>
    <row s="1666" customFormat="1" customHeight="1" ht="11.25">
      <c r="A147" s="982"/>
      <c r="B147" s="1661"/>
      <c r="C147" s="1661"/>
      <c r="D147" s="339"/>
      <c r="K147" s="1155"/>
      <c r="L147" s="1661"/>
      <c r="M147" s="1661"/>
      <c r="N147" s="1155"/>
      <c r="O147" s="1155"/>
      <c r="P147" s="1155"/>
      <c r="Q147" s="1155"/>
      <c r="R147" s="1661"/>
      <c r="S147" s="1155"/>
      <c r="T147" s="1155"/>
      <c r="U147" s="540"/>
      <c r="V147" s="1155"/>
      <c r="W147" s="1155"/>
      <c r="X147" s="1155"/>
      <c r="Y147" s="1155"/>
      <c r="Z147" s="1155"/>
      <c r="AA147" s="1657"/>
      <c r="AB147" s="562"/>
      <c r="AC147" s="562"/>
      <c r="AD147" s="562"/>
      <c r="AE147" s="562"/>
    </row>
    <row s="1666" customFormat="1" customHeight="1" ht="11.25">
      <c r="A148" s="982"/>
      <c r="B148" s="1661"/>
      <c r="C148" s="1661"/>
      <c r="D148" s="339"/>
      <c r="K148" s="1155"/>
      <c r="L148" s="1661"/>
      <c r="M148" s="1661"/>
      <c r="N148" s="1155"/>
      <c r="O148" s="1155"/>
      <c r="P148" s="1155"/>
      <c r="Q148" s="1155"/>
      <c r="R148" s="1661"/>
      <c r="S148" s="1155"/>
      <c r="T148" s="1155"/>
      <c r="U148" s="540"/>
      <c r="V148" s="1155"/>
      <c r="W148" s="1155"/>
      <c r="X148" s="1155"/>
      <c r="Y148" s="1155"/>
      <c r="Z148" s="1155"/>
      <c r="AA148" s="1657"/>
      <c r="AB148" s="562"/>
      <c r="AC148" s="562"/>
      <c r="AD148" s="562"/>
      <c r="AE148" s="562"/>
    </row>
    <row s="1666" customFormat="1" customHeight="1" ht="11.25">
      <c r="A149" s="982"/>
      <c r="B149" s="1661"/>
      <c r="C149" s="1661"/>
      <c r="D149" s="339"/>
      <c r="K149" s="1155"/>
      <c r="L149" s="1661"/>
      <c r="M149" s="1661"/>
      <c r="N149" s="1155"/>
      <c r="O149" s="1155"/>
      <c r="P149" s="1155"/>
      <c r="Q149" s="1155"/>
      <c r="R149" s="1661"/>
      <c r="S149" s="1155"/>
      <c r="T149" s="1155"/>
      <c r="U149" s="540"/>
      <c r="V149" s="1155"/>
      <c r="W149" s="1155"/>
      <c r="X149" s="1155"/>
      <c r="Y149" s="1155"/>
      <c r="Z149" s="1155"/>
      <c r="AA149" s="1657"/>
      <c r="AB149" s="562"/>
      <c r="AC149" s="562"/>
      <c r="AD149" s="562"/>
      <c r="AE149" s="562"/>
    </row>
    <row s="1666" customFormat="1" customHeight="1" ht="11.25">
      <c r="A150" s="982"/>
      <c r="B150" s="1661"/>
      <c r="C150" s="1661"/>
      <c r="D150" s="339"/>
      <c r="K150" s="1155"/>
      <c r="L150" s="1661"/>
      <c r="M150" s="1661"/>
      <c r="N150" s="1155"/>
      <c r="O150" s="1155"/>
      <c r="P150" s="1155"/>
      <c r="Q150" s="1155"/>
      <c r="R150" s="1661"/>
      <c r="S150" s="1155"/>
      <c r="T150" s="1155"/>
      <c r="U150" s="540"/>
      <c r="V150" s="1155"/>
      <c r="W150" s="1155"/>
      <c r="X150" s="1155"/>
      <c r="Y150" s="1155"/>
      <c r="Z150" s="1155"/>
      <c r="AA150" s="1657"/>
      <c r="AB150" s="562"/>
      <c r="AC150" s="562"/>
      <c r="AD150" s="562"/>
      <c r="AE150" s="562"/>
    </row>
    <row s="1666" customFormat="1" customHeight="1" ht="11.25">
      <c r="A151" s="982"/>
      <c r="B151" s="1661"/>
      <c r="C151" s="1661"/>
      <c r="D151" s="339"/>
      <c r="K151" s="1155"/>
      <c r="L151" s="1661"/>
      <c r="M151" s="1661"/>
      <c r="N151" s="1155"/>
      <c r="O151" s="1155"/>
      <c r="P151" s="1155"/>
      <c r="Q151" s="1155"/>
      <c r="R151" s="1661"/>
      <c r="S151" s="1155"/>
      <c r="T151" s="1155"/>
      <c r="U151" s="540"/>
      <c r="V151" s="1155"/>
      <c r="W151" s="1155"/>
      <c r="X151" s="1155"/>
      <c r="Y151" s="1155"/>
      <c r="Z151" s="1155"/>
      <c r="AA151" s="1657"/>
      <c r="AB151" s="562"/>
      <c r="AC151" s="562"/>
      <c r="AD151" s="562"/>
      <c r="AE151" s="562"/>
    </row>
    <row s="1666" customFormat="1" customHeight="1" ht="11.25">
      <c r="A152" s="982"/>
      <c r="B152" s="1661"/>
      <c r="C152" s="1661"/>
      <c r="D152" s="339"/>
      <c r="K152" s="1155"/>
      <c r="L152" s="1661"/>
      <c r="M152" s="1661"/>
      <c r="N152" s="1155"/>
      <c r="O152" s="1155"/>
      <c r="P152" s="1155"/>
      <c r="Q152" s="1155"/>
      <c r="R152" s="1661"/>
      <c r="S152" s="1155"/>
      <c r="T152" s="1155"/>
      <c r="U152" s="540"/>
      <c r="V152" s="1155"/>
      <c r="W152" s="1155"/>
      <c r="X152" s="1155"/>
      <c r="Y152" s="1155"/>
      <c r="Z152" s="1155"/>
      <c r="AA152" s="1657"/>
      <c r="AB152" s="562"/>
      <c r="AC152" s="562"/>
      <c r="AD152" s="562"/>
      <c r="AE152" s="562"/>
    </row>
    <row s="1666" customFormat="1" customHeight="1" ht="11.25">
      <c r="A153" s="982"/>
      <c r="B153" s="1661"/>
      <c r="C153" s="1661"/>
      <c r="D153" s="339"/>
      <c r="K153" s="1155"/>
      <c r="L153" s="1661"/>
      <c r="M153" s="1661"/>
      <c r="N153" s="1155"/>
      <c r="O153" s="1155"/>
      <c r="P153" s="1155"/>
      <c r="Q153" s="1155"/>
      <c r="R153" s="1661"/>
      <c r="S153" s="1155"/>
      <c r="T153" s="1155"/>
      <c r="U153" s="540"/>
      <c r="V153" s="1155"/>
      <c r="W153" s="1155"/>
      <c r="X153" s="1155"/>
      <c r="Y153" s="1155"/>
      <c r="Z153" s="1155"/>
      <c r="AA153" s="1657"/>
      <c r="AB153" s="562"/>
      <c r="AC153" s="562"/>
      <c r="AD153" s="562"/>
      <c r="AE153" s="562"/>
    </row>
    <row s="1666" customFormat="1" customHeight="1" ht="11.25">
      <c r="A154" s="982"/>
      <c r="B154" s="1661"/>
      <c r="C154" s="1661"/>
      <c r="D154" s="339"/>
      <c r="K154" s="1155"/>
      <c r="L154" s="1661"/>
      <c r="M154" s="1661"/>
      <c r="N154" s="1155"/>
      <c r="O154" s="1155"/>
      <c r="P154" s="1155"/>
      <c r="Q154" s="1155"/>
      <c r="R154" s="1661"/>
      <c r="S154" s="1155"/>
      <c r="T154" s="1155"/>
      <c r="U154" s="540"/>
      <c r="V154" s="1155"/>
      <c r="W154" s="1155"/>
      <c r="X154" s="1155"/>
      <c r="Y154" s="1155"/>
      <c r="Z154" s="1155"/>
      <c r="AA154" s="1657"/>
      <c r="AB154" s="562"/>
      <c r="AC154" s="562"/>
      <c r="AD154" s="562"/>
      <c r="AE154" s="562"/>
    </row>
    <row s="1666" customFormat="1" customHeight="1" ht="11.25">
      <c r="A155" s="982"/>
      <c r="B155" s="1661"/>
      <c r="C155" s="1661"/>
      <c r="D155" s="339"/>
      <c r="K155" s="1155"/>
      <c r="L155" s="1661"/>
      <c r="M155" s="1661"/>
      <c r="N155" s="1155"/>
      <c r="O155" s="1155"/>
      <c r="P155" s="1155"/>
      <c r="Q155" s="1155"/>
      <c r="R155" s="1661"/>
      <c r="S155" s="1155"/>
      <c r="T155" s="1155"/>
      <c r="U155" s="540"/>
      <c r="V155" s="1155"/>
      <c r="W155" s="1155"/>
      <c r="X155" s="1155"/>
      <c r="Y155" s="1155"/>
      <c r="Z155" s="1155"/>
      <c r="AA155" s="1657"/>
      <c r="AB155" s="562"/>
      <c r="AC155" s="562"/>
      <c r="AD155" s="562"/>
      <c r="AE155" s="562"/>
    </row>
    <row s="1666" customFormat="1" customHeight="1" ht="11.25">
      <c r="A156" s="982"/>
      <c r="B156" s="1661"/>
      <c r="C156" s="1661"/>
      <c r="D156" s="339"/>
      <c r="K156" s="1155"/>
      <c r="L156" s="1661"/>
      <c r="M156" s="1661"/>
      <c r="N156" s="1155"/>
      <c r="O156" s="1155"/>
      <c r="P156" s="1155"/>
      <c r="Q156" s="1155"/>
      <c r="R156" s="1661"/>
      <c r="S156" s="1155"/>
      <c r="T156" s="1155"/>
      <c r="U156" s="540"/>
      <c r="V156" s="1155"/>
      <c r="W156" s="1155"/>
      <c r="X156" s="1155"/>
      <c r="Y156" s="1155"/>
      <c r="Z156" s="1155"/>
      <c r="AA156" s="1657"/>
      <c r="AB156" s="562"/>
      <c r="AC156" s="562"/>
      <c r="AD156" s="562"/>
      <c r="AE156" s="562"/>
    </row>
    <row s="1666" customFormat="1" customHeight="1" ht="11.25">
      <c r="A157" s="982"/>
      <c r="B157" s="1661"/>
      <c r="C157" s="1661"/>
      <c r="D157" s="339"/>
      <c r="K157" s="1155"/>
      <c r="L157" s="1661"/>
      <c r="M157" s="1661"/>
      <c r="N157" s="1155"/>
      <c r="O157" s="1155"/>
      <c r="P157" s="1155"/>
      <c r="Q157" s="1155"/>
      <c r="R157" s="1661"/>
      <c r="S157" s="1155"/>
      <c r="T157" s="1155"/>
      <c r="U157" s="540"/>
      <c r="V157" s="1155"/>
      <c r="W157" s="1155"/>
      <c r="X157" s="1155"/>
      <c r="Y157" s="1155"/>
      <c r="Z157" s="1155"/>
      <c r="AA157" s="1657"/>
      <c r="AB157" s="562"/>
      <c r="AC157" s="562"/>
      <c r="AD157" s="562"/>
      <c r="AE157" s="562"/>
    </row>
    <row s="1666" customFormat="1" customHeight="1" ht="11.25">
      <c r="A158" s="982"/>
      <c r="B158" s="1661"/>
      <c r="C158" s="1661"/>
      <c r="D158" s="339"/>
      <c r="K158" s="1155"/>
      <c r="L158" s="1661"/>
      <c r="M158" s="1661"/>
      <c r="N158" s="1155"/>
      <c r="O158" s="1155"/>
      <c r="P158" s="1155"/>
      <c r="Q158" s="1155"/>
      <c r="R158" s="1661"/>
      <c r="S158" s="1155"/>
      <c r="T158" s="1155"/>
      <c r="U158" s="540"/>
      <c r="V158" s="1155"/>
      <c r="W158" s="1155"/>
      <c r="X158" s="1155"/>
      <c r="Y158" s="1155"/>
      <c r="Z158" s="1155"/>
      <c r="AA158" s="1657"/>
      <c r="AB158" s="562"/>
      <c r="AC158" s="562"/>
      <c r="AD158" s="562"/>
      <c r="AE158" s="562"/>
    </row>
    <row s="1666" customFormat="1" customHeight="1" ht="11.25">
      <c r="A159" s="982"/>
      <c r="B159" s="1661"/>
      <c r="C159" s="1661"/>
      <c r="D159" s="339"/>
      <c r="K159" s="1155"/>
      <c r="L159" s="1661"/>
      <c r="M159" s="1661"/>
      <c r="N159" s="1155"/>
      <c r="O159" s="1155"/>
      <c r="P159" s="1155"/>
      <c r="Q159" s="1155"/>
      <c r="R159" s="1661"/>
      <c r="S159" s="1155"/>
      <c r="T159" s="1155"/>
      <c r="U159" s="540"/>
      <c r="V159" s="1155"/>
      <c r="W159" s="1155"/>
      <c r="X159" s="1155"/>
      <c r="Y159" s="1155"/>
      <c r="Z159" s="1155"/>
      <c r="AA159" s="1657"/>
      <c r="AB159" s="562"/>
      <c r="AC159" s="562"/>
      <c r="AD159" s="562"/>
      <c r="AE159" s="562"/>
    </row>
    <row s="1666" customFormat="1" customHeight="1" ht="11.25">
      <c r="A160" s="982"/>
      <c r="B160" s="1661"/>
      <c r="C160" s="1661"/>
      <c r="D160" s="339"/>
      <c r="K160" s="1155"/>
      <c r="L160" s="1661"/>
      <c r="M160" s="1661"/>
      <c r="N160" s="1155"/>
      <c r="O160" s="1155"/>
      <c r="P160" s="1155"/>
      <c r="Q160" s="1155"/>
      <c r="R160" s="1661"/>
      <c r="S160" s="1155"/>
      <c r="T160" s="1155"/>
      <c r="U160" s="540"/>
      <c r="V160" s="1155"/>
      <c r="W160" s="1155"/>
      <c r="X160" s="1155"/>
      <c r="Y160" s="1155"/>
      <c r="Z160" s="1155"/>
      <c r="AA160" s="1657"/>
      <c r="AB160" s="562"/>
      <c r="AC160" s="562"/>
      <c r="AD160" s="562"/>
      <c r="AE160" s="562"/>
    </row>
    <row s="1666" customFormat="1" customHeight="1" ht="11.25">
      <c r="A161" s="982"/>
      <c r="B161" s="1661"/>
      <c r="C161" s="1661"/>
      <c r="D161" s="339"/>
      <c r="K161" s="1155"/>
      <c r="L161" s="1661"/>
      <c r="M161" s="1661"/>
      <c r="N161" s="1155"/>
      <c r="O161" s="1155"/>
      <c r="P161" s="1155"/>
      <c r="Q161" s="1155"/>
      <c r="R161" s="1661"/>
      <c r="S161" s="1155"/>
      <c r="T161" s="1155"/>
      <c r="U161" s="540"/>
      <c r="V161" s="1155"/>
      <c r="W161" s="1155"/>
      <c r="X161" s="1155"/>
      <c r="Y161" s="1155"/>
      <c r="Z161" s="1155"/>
      <c r="AA161" s="1657"/>
      <c r="AB161" s="562"/>
      <c r="AC161" s="562"/>
      <c r="AD161" s="562"/>
      <c r="AE161" s="562"/>
    </row>
    <row s="1666" customFormat="1" customHeight="1" ht="11.25">
      <c r="A162" s="982"/>
      <c r="B162" s="1661"/>
      <c r="C162" s="1661"/>
      <c r="D162" s="339"/>
      <c r="K162" s="1155"/>
      <c r="L162" s="1661"/>
      <c r="M162" s="1661"/>
      <c r="N162" s="1155"/>
      <c r="O162" s="1155"/>
      <c r="P162" s="1155"/>
      <c r="Q162" s="1155"/>
      <c r="R162" s="1661"/>
      <c r="S162" s="1155"/>
      <c r="T162" s="1155"/>
      <c r="U162" s="540"/>
      <c r="V162" s="1155"/>
      <c r="W162" s="1155"/>
      <c r="X162" s="1155"/>
      <c r="Y162" s="1155"/>
      <c r="Z162" s="1155"/>
      <c r="AA162" s="1657"/>
      <c r="AB162" s="562"/>
      <c r="AC162" s="562"/>
      <c r="AD162" s="562"/>
      <c r="AE162" s="562"/>
    </row>
    <row s="1666" customFormat="1" customHeight="1" ht="11.25">
      <c r="A163" s="982"/>
      <c r="B163" s="1661"/>
      <c r="C163" s="1661"/>
      <c r="D163" s="339"/>
      <c r="K163" s="1155"/>
      <c r="L163" s="1661"/>
      <c r="M163" s="1661"/>
      <c r="N163" s="1155"/>
      <c r="O163" s="1155"/>
      <c r="P163" s="1155"/>
      <c r="Q163" s="1155"/>
      <c r="R163" s="1661"/>
      <c r="S163" s="1155"/>
      <c r="T163" s="1155"/>
      <c r="U163" s="540"/>
      <c r="V163" s="1155"/>
      <c r="W163" s="1155"/>
      <c r="X163" s="1155"/>
      <c r="Y163" s="1155"/>
      <c r="Z163" s="1155"/>
      <c r="AA163" s="1657"/>
      <c r="AB163" s="562"/>
      <c r="AC163" s="562"/>
      <c r="AD163" s="562"/>
      <c r="AE163" s="562"/>
    </row>
    <row s="1666" customFormat="1" customHeight="1" ht="11.25">
      <c r="A164" s="982"/>
      <c r="B164" s="1661"/>
      <c r="C164" s="1661"/>
      <c r="D164" s="339"/>
      <c r="K164" s="1155"/>
      <c r="L164" s="1661"/>
      <c r="M164" s="1661"/>
      <c r="N164" s="1155"/>
      <c r="O164" s="1155"/>
      <c r="P164" s="1155"/>
      <c r="Q164" s="1155"/>
      <c r="R164" s="1661"/>
      <c r="S164" s="1155"/>
      <c r="T164" s="1155"/>
      <c r="U164" s="540"/>
      <c r="V164" s="1155"/>
      <c r="W164" s="1155"/>
      <c r="X164" s="1155"/>
      <c r="Y164" s="1155"/>
      <c r="Z164" s="1155"/>
      <c r="AA164" s="1657"/>
      <c r="AB164" s="562"/>
      <c r="AC164" s="562"/>
      <c r="AD164" s="562"/>
      <c r="AE164" s="562"/>
    </row>
    <row s="1666" customFormat="1" customHeight="1" ht="11.25">
      <c r="A165" s="982"/>
      <c r="B165" s="1661"/>
      <c r="C165" s="1661"/>
      <c r="D165" s="339"/>
      <c r="K165" s="1155"/>
      <c r="L165" s="1661"/>
      <c r="M165" s="1661"/>
      <c r="N165" s="1155"/>
      <c r="O165" s="1155"/>
      <c r="P165" s="1155"/>
      <c r="Q165" s="1155"/>
      <c r="R165" s="1661"/>
      <c r="S165" s="1155"/>
      <c r="T165" s="1155"/>
      <c r="U165" s="540"/>
      <c r="V165" s="1155"/>
      <c r="W165" s="1155"/>
      <c r="X165" s="1155"/>
      <c r="Y165" s="1155"/>
      <c r="Z165" s="1155"/>
      <c r="AA165" s="1657"/>
      <c r="AB165" s="562"/>
      <c r="AC165" s="562"/>
      <c r="AD165" s="562"/>
      <c r="AE165" s="562"/>
    </row>
    <row s="1666" customFormat="1" customHeight="1" ht="11.25">
      <c r="A166" s="982"/>
      <c r="B166" s="1661"/>
      <c r="C166" s="1661"/>
      <c r="D166" s="339"/>
      <c r="K166" s="1155"/>
      <c r="L166" s="1661"/>
      <c r="M166" s="1661"/>
      <c r="N166" s="1155"/>
      <c r="O166" s="1155"/>
      <c r="P166" s="1155"/>
      <c r="Q166" s="1155"/>
      <c r="R166" s="1661"/>
      <c r="S166" s="1155"/>
      <c r="T166" s="1155"/>
      <c r="U166" s="540"/>
      <c r="V166" s="1155"/>
      <c r="W166" s="1155"/>
      <c r="X166" s="1155"/>
      <c r="Y166" s="1155"/>
      <c r="Z166" s="1155"/>
      <c r="AA166" s="1657"/>
      <c r="AB166" s="562"/>
      <c r="AC166" s="562"/>
      <c r="AD166" s="562"/>
      <c r="AE166" s="562"/>
    </row>
    <row s="1666" customFormat="1" customHeight="1" ht="11.25">
      <c r="A167" s="982"/>
      <c r="B167" s="1661"/>
      <c r="C167" s="1661"/>
      <c r="D167" s="339"/>
      <c r="K167" s="1155"/>
      <c r="L167" s="1661"/>
      <c r="M167" s="1661"/>
      <c r="N167" s="1155"/>
      <c r="O167" s="1155"/>
      <c r="P167" s="1155"/>
      <c r="Q167" s="1155"/>
      <c r="R167" s="1661"/>
      <c r="S167" s="1155"/>
      <c r="T167" s="1155"/>
      <c r="U167" s="540"/>
      <c r="V167" s="1155"/>
      <c r="W167" s="1155"/>
      <c r="X167" s="1155"/>
      <c r="Y167" s="1155"/>
      <c r="Z167" s="1155"/>
      <c r="AA167" s="1657"/>
      <c r="AB167" s="562"/>
      <c r="AC167" s="562"/>
      <c r="AD167" s="562"/>
      <c r="AE167" s="562"/>
    </row>
    <row s="1666" customFormat="1" customHeight="1" ht="11.25">
      <c r="A168" s="982"/>
      <c r="B168" s="1661"/>
      <c r="C168" s="1661"/>
      <c r="D168" s="339"/>
      <c r="K168" s="1155"/>
      <c r="L168" s="1661"/>
      <c r="M168" s="1661"/>
      <c r="N168" s="1155"/>
      <c r="O168" s="1155"/>
      <c r="P168" s="1155"/>
      <c r="Q168" s="1155"/>
      <c r="R168" s="1661"/>
      <c r="S168" s="1155"/>
      <c r="T168" s="1155"/>
      <c r="U168" s="540"/>
      <c r="V168" s="1155"/>
      <c r="W168" s="1155"/>
      <c r="X168" s="1155"/>
      <c r="Y168" s="1155"/>
      <c r="Z168" s="1155"/>
      <c r="AA168" s="1657"/>
      <c r="AB168" s="562"/>
      <c r="AC168" s="562"/>
      <c r="AD168" s="562"/>
      <c r="AE168" s="562"/>
    </row>
    <row s="1666" customFormat="1" customHeight="1" ht="11.25">
      <c r="A169" s="982"/>
      <c r="B169" s="1661"/>
      <c r="C169" s="1661"/>
      <c r="D169" s="339"/>
      <c r="K169" s="1155"/>
      <c r="L169" s="1661"/>
      <c r="M169" s="1661"/>
      <c r="N169" s="1155"/>
      <c r="O169" s="1155"/>
      <c r="P169" s="1155"/>
      <c r="Q169" s="1155"/>
      <c r="R169" s="1661"/>
      <c r="S169" s="1155"/>
      <c r="T169" s="1155"/>
      <c r="U169" s="540"/>
      <c r="V169" s="1155"/>
      <c r="W169" s="1155"/>
      <c r="X169" s="1155"/>
      <c r="Y169" s="1155"/>
      <c r="Z169" s="1155"/>
      <c r="AA169" s="1657"/>
      <c r="AB169" s="562"/>
      <c r="AC169" s="562"/>
      <c r="AD169" s="562"/>
      <c r="AE169" s="562"/>
    </row>
    <row s="1666" customFormat="1" customHeight="1" ht="11.25">
      <c r="A170" s="982"/>
      <c r="B170" s="1661"/>
      <c r="C170" s="1661"/>
      <c r="D170" s="339"/>
      <c r="K170" s="1155"/>
      <c r="L170" s="1661"/>
      <c r="M170" s="1661"/>
      <c r="N170" s="1155"/>
      <c r="O170" s="1155"/>
      <c r="P170" s="1155"/>
      <c r="Q170" s="1155"/>
      <c r="R170" s="1661"/>
      <c r="S170" s="1155"/>
      <c r="T170" s="1155"/>
      <c r="U170" s="540"/>
      <c r="V170" s="1155"/>
      <c r="W170" s="1155"/>
      <c r="X170" s="1155"/>
      <c r="Y170" s="1155"/>
      <c r="Z170" s="1155"/>
      <c r="AA170" s="1657"/>
      <c r="AB170" s="562"/>
      <c r="AC170" s="562"/>
      <c r="AD170" s="562"/>
      <c r="AE170" s="562"/>
    </row>
    <row s="1666" customFormat="1" customHeight="1" ht="11.25">
      <c r="A171" s="982"/>
      <c r="B171" s="1661"/>
      <c r="C171" s="1661"/>
      <c r="D171" s="339"/>
      <c r="K171" s="1155"/>
      <c r="L171" s="1661"/>
      <c r="M171" s="1661"/>
      <c r="N171" s="1155"/>
      <c r="O171" s="1155"/>
      <c r="P171" s="1155"/>
      <c r="Q171" s="1155"/>
      <c r="R171" s="1661"/>
      <c r="S171" s="1155"/>
      <c r="T171" s="1155"/>
      <c r="U171" s="540"/>
      <c r="V171" s="1155"/>
      <c r="W171" s="1155"/>
      <c r="X171" s="1155"/>
      <c r="Y171" s="1155"/>
      <c r="Z171" s="1155"/>
      <c r="AA171" s="1657"/>
      <c r="AB171" s="562"/>
      <c r="AC171" s="562"/>
      <c r="AD171" s="562"/>
      <c r="AE171" s="562"/>
    </row>
    <row s="1666" customFormat="1" customHeight="1" ht="11.25">
      <c r="A172" s="982"/>
      <c r="B172" s="1661"/>
      <c r="C172" s="1661"/>
      <c r="D172" s="339"/>
      <c r="K172" s="1155"/>
      <c r="L172" s="1661"/>
      <c r="M172" s="1661"/>
      <c r="N172" s="1155"/>
      <c r="O172" s="1155"/>
      <c r="P172" s="1155"/>
      <c r="Q172" s="1155"/>
      <c r="R172" s="1661"/>
      <c r="S172" s="1155"/>
      <c r="T172" s="1155"/>
      <c r="U172" s="540"/>
      <c r="V172" s="1155"/>
      <c r="W172" s="1155"/>
      <c r="X172" s="1155"/>
      <c r="Y172" s="1155"/>
      <c r="Z172" s="1155"/>
      <c r="AA172" s="1657"/>
      <c r="AB172" s="562"/>
      <c r="AC172" s="562"/>
      <c r="AD172" s="562"/>
      <c r="AE172" s="562"/>
    </row>
    <row s="1666" customFormat="1" customHeight="1" ht="11.25">
      <c r="A173" s="982"/>
      <c r="B173" s="1661"/>
      <c r="C173" s="1661"/>
      <c r="D173" s="339"/>
      <c r="K173" s="1155"/>
      <c r="L173" s="1661"/>
      <c r="M173" s="1661"/>
      <c r="N173" s="1155"/>
      <c r="O173" s="1155"/>
      <c r="P173" s="1155"/>
      <c r="Q173" s="1155"/>
      <c r="R173" s="1661"/>
      <c r="S173" s="1155"/>
      <c r="T173" s="1155"/>
      <c r="U173" s="540"/>
      <c r="V173" s="1155"/>
      <c r="W173" s="1155"/>
      <c r="X173" s="1155"/>
      <c r="Y173" s="1155"/>
      <c r="Z173" s="1155"/>
      <c r="AA173" s="1657"/>
      <c r="AB173" s="562"/>
      <c r="AC173" s="562"/>
      <c r="AD173" s="562"/>
      <c r="AE173" s="562"/>
    </row>
    <row s="1666" customFormat="1" customHeight="1" ht="11.25">
      <c r="A174" s="982"/>
      <c r="B174" s="1661"/>
      <c r="C174" s="1661"/>
      <c r="D174" s="339"/>
      <c r="K174" s="1155"/>
      <c r="L174" s="1661"/>
      <c r="M174" s="1661"/>
      <c r="N174" s="1155"/>
      <c r="O174" s="1155"/>
      <c r="P174" s="1155"/>
      <c r="Q174" s="1155"/>
      <c r="R174" s="1661"/>
      <c r="S174" s="1155"/>
      <c r="T174" s="1155"/>
      <c r="U174" s="540"/>
      <c r="V174" s="1155"/>
      <c r="W174" s="1155"/>
      <c r="X174" s="1155"/>
      <c r="Y174" s="1155"/>
      <c r="Z174" s="1155"/>
      <c r="AA174" s="1657"/>
      <c r="AB174" s="562"/>
      <c r="AC174" s="562"/>
      <c r="AD174" s="562"/>
      <c r="AE174" s="562"/>
    </row>
    <row s="1666" customFormat="1" customHeight="1" ht="11.25">
      <c r="A175" s="982"/>
      <c r="B175" s="1661"/>
      <c r="C175" s="1661"/>
      <c r="D175" s="339"/>
      <c r="K175" s="1155"/>
      <c r="L175" s="1661"/>
      <c r="M175" s="1661"/>
      <c r="N175" s="1155"/>
      <c r="O175" s="1155"/>
      <c r="P175" s="1155"/>
      <c r="Q175" s="1155"/>
      <c r="R175" s="1661"/>
      <c r="S175" s="1155"/>
      <c r="T175" s="1155"/>
      <c r="U175" s="540"/>
      <c r="V175" s="1155"/>
      <c r="W175" s="1155"/>
      <c r="X175" s="1155"/>
      <c r="Y175" s="1155"/>
      <c r="Z175" s="1155"/>
      <c r="AA175" s="1657"/>
      <c r="AB175" s="562"/>
      <c r="AC175" s="562"/>
      <c r="AD175" s="562"/>
      <c r="AE175" s="562"/>
    </row>
    <row s="1666" customFormat="1" customHeight="1" ht="11.25">
      <c r="A176" s="982"/>
      <c r="B176" s="1661"/>
      <c r="C176" s="1661"/>
      <c r="D176" s="339"/>
      <c r="K176" s="1155"/>
      <c r="L176" s="1661"/>
      <c r="M176" s="1661"/>
      <c r="N176" s="1155"/>
      <c r="O176" s="1155"/>
      <c r="P176" s="1155"/>
      <c r="Q176" s="1155"/>
      <c r="R176" s="1661"/>
      <c r="S176" s="1155"/>
      <c r="T176" s="1155"/>
      <c r="U176" s="540"/>
      <c r="V176" s="1155"/>
      <c r="W176" s="1155"/>
      <c r="X176" s="1155"/>
      <c r="Y176" s="1155"/>
      <c r="Z176" s="1155"/>
      <c r="AA176" s="1657"/>
      <c r="AB176" s="562"/>
      <c r="AC176" s="562"/>
      <c r="AD176" s="562"/>
      <c r="AE176" s="562"/>
    </row>
    <row s="1666" customFormat="1" customHeight="1" ht="11.25">
      <c r="A177" s="982"/>
      <c r="B177" s="1661"/>
      <c r="C177" s="1661"/>
      <c r="D177" s="339"/>
      <c r="K177" s="1155"/>
      <c r="L177" s="1661"/>
      <c r="M177" s="1661"/>
      <c r="N177" s="1155"/>
      <c r="O177" s="1155"/>
      <c r="P177" s="1155"/>
      <c r="Q177" s="1155"/>
      <c r="R177" s="1661"/>
      <c r="S177" s="1155"/>
      <c r="T177" s="1155"/>
      <c r="U177" s="540"/>
      <c r="V177" s="1155"/>
      <c r="W177" s="1155"/>
      <c r="X177" s="1155"/>
      <c r="Y177" s="1155"/>
      <c r="Z177" s="1155"/>
      <c r="AA177" s="1657"/>
      <c r="AB177" s="562"/>
      <c r="AC177" s="562"/>
      <c r="AD177" s="562"/>
      <c r="AE177" s="562"/>
    </row>
    <row s="1666" customFormat="1" customHeight="1" ht="11.25">
      <c r="A178" s="982"/>
      <c r="B178" s="1661"/>
      <c r="C178" s="1661"/>
      <c r="D178" s="339"/>
      <c r="K178" s="1155"/>
      <c r="L178" s="1661"/>
      <c r="M178" s="1661"/>
      <c r="N178" s="1155"/>
      <c r="O178" s="1155"/>
      <c r="P178" s="1155"/>
      <c r="Q178" s="1155"/>
      <c r="R178" s="1661"/>
      <c r="S178" s="1155"/>
      <c r="T178" s="1155"/>
      <c r="U178" s="540"/>
      <c r="V178" s="1155"/>
      <c r="W178" s="1155"/>
      <c r="X178" s="1155"/>
      <c r="Y178" s="1155"/>
      <c r="Z178" s="1155"/>
      <c r="AA178" s="1657"/>
      <c r="AB178" s="562"/>
      <c r="AC178" s="562"/>
      <c r="AD178" s="562"/>
      <c r="AE178" s="562"/>
    </row>
    <row s="1666" customFormat="1" customHeight="1" ht="11.25">
      <c r="A179" s="982"/>
      <c r="B179" s="1661"/>
      <c r="C179" s="1661"/>
      <c r="D179" s="339"/>
      <c r="K179" s="1155"/>
      <c r="L179" s="1661"/>
      <c r="M179" s="1661"/>
      <c r="N179" s="1155"/>
      <c r="O179" s="1155"/>
      <c r="P179" s="1155"/>
      <c r="Q179" s="1155"/>
      <c r="R179" s="1661"/>
      <c r="S179" s="1155"/>
      <c r="T179" s="1155"/>
      <c r="U179" s="540"/>
      <c r="V179" s="1155"/>
      <c r="W179" s="1155"/>
      <c r="X179" s="1155"/>
      <c r="Y179" s="1155"/>
      <c r="Z179" s="1155"/>
      <c r="AA179" s="1657"/>
      <c r="AB179" s="562"/>
      <c r="AC179" s="562"/>
      <c r="AD179" s="562"/>
      <c r="AE179" s="562"/>
    </row>
    <row s="1666" customFormat="1" customHeight="1" ht="11.25">
      <c r="A180" s="982"/>
      <c r="B180" s="1661"/>
      <c r="C180" s="1661"/>
      <c r="D180" s="339"/>
      <c r="K180" s="1155"/>
      <c r="L180" s="1661"/>
      <c r="M180" s="1661"/>
      <c r="N180" s="1155"/>
      <c r="O180" s="1155"/>
      <c r="P180" s="1155"/>
      <c r="Q180" s="1155"/>
      <c r="R180" s="1661"/>
      <c r="S180" s="1155"/>
      <c r="T180" s="1155"/>
      <c r="U180" s="540"/>
      <c r="V180" s="1155"/>
      <c r="W180" s="1155"/>
      <c r="X180" s="1155"/>
      <c r="Y180" s="1155"/>
      <c r="Z180" s="1155"/>
      <c r="AA180" s="1657"/>
      <c r="AB180" s="562"/>
      <c r="AC180" s="562"/>
      <c r="AD180" s="562"/>
      <c r="AE180" s="562"/>
    </row>
    <row s="1666" customFormat="1" customHeight="1" ht="11.25">
      <c r="A181" s="982"/>
      <c r="B181" s="1661"/>
      <c r="C181" s="1661"/>
      <c r="D181" s="339"/>
      <c r="K181" s="1155"/>
      <c r="L181" s="1661"/>
      <c r="M181" s="1661"/>
      <c r="N181" s="1155"/>
      <c r="O181" s="1155"/>
      <c r="P181" s="1155"/>
      <c r="Q181" s="1155"/>
      <c r="R181" s="1661"/>
      <c r="S181" s="1155"/>
      <c r="T181" s="1155"/>
      <c r="U181" s="540"/>
      <c r="V181" s="1155"/>
      <c r="W181" s="1155"/>
      <c r="X181" s="1155"/>
      <c r="Y181" s="1155"/>
      <c r="Z181" s="1155"/>
      <c r="AA181" s="1657"/>
      <c r="AB181" s="562"/>
      <c r="AC181" s="562"/>
      <c r="AD181" s="562"/>
      <c r="AE181" s="562"/>
    </row>
    <row s="1666" customFormat="1" customHeight="1" ht="11.25">
      <c r="A182" s="982"/>
      <c r="B182" s="1661"/>
      <c r="C182" s="1661"/>
      <c r="D182" s="339"/>
      <c r="K182" s="1155"/>
      <c r="L182" s="1661"/>
      <c r="M182" s="1661"/>
      <c r="N182" s="1155"/>
      <c r="O182" s="1155"/>
      <c r="P182" s="1155"/>
      <c r="Q182" s="1155"/>
      <c r="R182" s="1661"/>
      <c r="S182" s="1155"/>
      <c r="T182" s="1155"/>
      <c r="U182" s="540"/>
      <c r="V182" s="1155"/>
      <c r="W182" s="1155"/>
      <c r="X182" s="1155"/>
      <c r="Y182" s="1155"/>
      <c r="Z182" s="1155"/>
      <c r="AA182" s="1657"/>
      <c r="AB182" s="562"/>
      <c r="AC182" s="562"/>
      <c r="AD182" s="562"/>
      <c r="AE182" s="562"/>
    </row>
    <row s="1666" customFormat="1" customHeight="1" ht="11.25">
      <c r="A183" s="982"/>
      <c r="B183" s="1661"/>
      <c r="C183" s="1661"/>
      <c r="D183" s="339"/>
      <c r="K183" s="1155"/>
      <c r="L183" s="1661"/>
      <c r="M183" s="1661"/>
      <c r="N183" s="1155"/>
      <c r="O183" s="1155"/>
      <c r="P183" s="1155"/>
      <c r="Q183" s="1155"/>
      <c r="R183" s="1661"/>
      <c r="S183" s="1155"/>
      <c r="T183" s="1155"/>
      <c r="U183" s="540"/>
      <c r="V183" s="1155"/>
      <c r="W183" s="1155"/>
      <c r="X183" s="1155"/>
      <c r="Y183" s="1155"/>
      <c r="Z183" s="1155"/>
      <c r="AA183" s="1657"/>
      <c r="AB183" s="562"/>
      <c r="AC183" s="562"/>
      <c r="AD183" s="562"/>
      <c r="AE183" s="562"/>
    </row>
    <row s="1666" customFormat="1" customHeight="1" ht="11.25">
      <c r="A184" s="982"/>
      <c r="B184" s="1661"/>
      <c r="C184" s="1661"/>
      <c r="D184" s="339"/>
      <c r="K184" s="1155"/>
      <c r="L184" s="1661"/>
      <c r="M184" s="1661"/>
      <c r="N184" s="1155"/>
      <c r="O184" s="1155"/>
      <c r="P184" s="1155"/>
      <c r="Q184" s="1155"/>
      <c r="R184" s="1661"/>
      <c r="S184" s="1155"/>
      <c r="T184" s="1155"/>
      <c r="U184" s="540"/>
      <c r="V184" s="1155"/>
      <c r="W184" s="1155"/>
      <c r="X184" s="1155"/>
      <c r="Y184" s="1155"/>
      <c r="Z184" s="1155"/>
      <c r="AA184" s="1657"/>
      <c r="AB184" s="562"/>
      <c r="AC184" s="562"/>
      <c r="AD184" s="562"/>
      <c r="AE184" s="562"/>
    </row>
    <row s="1666" customFormat="1" customHeight="1" ht="11.25">
      <c r="A185" s="982"/>
      <c r="B185" s="1661"/>
      <c r="C185" s="1661"/>
      <c r="D185" s="339"/>
      <c r="K185" s="1155"/>
      <c r="L185" s="1661"/>
      <c r="M185" s="1661"/>
      <c r="N185" s="1155"/>
      <c r="O185" s="1155"/>
      <c r="P185" s="1155"/>
      <c r="Q185" s="1155"/>
      <c r="R185" s="1661"/>
      <c r="S185" s="1155"/>
      <c r="T185" s="1155"/>
      <c r="U185" s="540"/>
      <c r="V185" s="1155"/>
      <c r="W185" s="1155"/>
      <c r="X185" s="1155"/>
      <c r="Y185" s="1155"/>
      <c r="Z185" s="1155"/>
      <c r="AA185" s="1657"/>
      <c r="AB185" s="562"/>
      <c r="AC185" s="562"/>
      <c r="AD185" s="562"/>
      <c r="AE185" s="562"/>
    </row>
    <row s="1666" customFormat="1" customHeight="1" ht="11.25">
      <c r="A186" s="982"/>
      <c r="B186" s="1661"/>
      <c r="C186" s="1661"/>
      <c r="D186" s="339"/>
      <c r="K186" s="1155"/>
      <c r="L186" s="1661"/>
      <c r="M186" s="1661"/>
      <c r="N186" s="1155"/>
      <c r="O186" s="1155"/>
      <c r="P186" s="1155"/>
      <c r="Q186" s="1155"/>
      <c r="R186" s="1661"/>
      <c r="S186" s="1155"/>
      <c r="T186" s="1155"/>
      <c r="U186" s="540"/>
      <c r="V186" s="1155"/>
      <c r="W186" s="1155"/>
      <c r="X186" s="1155"/>
      <c r="Y186" s="1155"/>
      <c r="Z186" s="1155"/>
      <c r="AA186" s="1657"/>
      <c r="AB186" s="562"/>
      <c r="AC186" s="562"/>
      <c r="AD186" s="562"/>
      <c r="AE186" s="562"/>
    </row>
    <row s="1666" customFormat="1" customHeight="1" ht="11.25">
      <c r="A187" s="982"/>
      <c r="B187" s="1661"/>
      <c r="C187" s="1661"/>
      <c r="D187" s="339"/>
      <c r="K187" s="1155"/>
      <c r="L187" s="1661"/>
      <c r="M187" s="1661"/>
      <c r="N187" s="1155"/>
      <c r="O187" s="1155"/>
      <c r="P187" s="1155"/>
      <c r="Q187" s="1155"/>
      <c r="R187" s="1661"/>
      <c r="S187" s="1155"/>
      <c r="T187" s="1155"/>
      <c r="U187" s="540"/>
      <c r="V187" s="1155"/>
      <c r="W187" s="1155"/>
      <c r="X187" s="1155"/>
      <c r="Y187" s="1155"/>
      <c r="Z187" s="1155"/>
      <c r="AA187" s="1657"/>
      <c r="AB187" s="562"/>
      <c r="AC187" s="562"/>
      <c r="AD187" s="562"/>
      <c r="AE187" s="562"/>
    </row>
    <row s="1666" customFormat="1" customHeight="1" ht="11.25">
      <c r="A188" s="982"/>
      <c r="B188" s="1661"/>
      <c r="C188" s="1661"/>
      <c r="D188" s="339"/>
      <c r="K188" s="1155"/>
      <c r="L188" s="1661"/>
      <c r="M188" s="1661"/>
      <c r="N188" s="1155"/>
      <c r="O188" s="1155"/>
      <c r="P188" s="1155"/>
      <c r="Q188" s="1155"/>
      <c r="R188" s="1661"/>
      <c r="S188" s="1155"/>
      <c r="T188" s="1155"/>
      <c r="U188" s="540"/>
      <c r="V188" s="1155"/>
      <c r="W188" s="1155"/>
      <c r="X188" s="1155"/>
      <c r="Y188" s="1155"/>
      <c r="Z188" s="1155"/>
      <c r="AA188" s="1657"/>
      <c r="AB188" s="562"/>
      <c r="AC188" s="562"/>
      <c r="AD188" s="562"/>
      <c r="AE188" s="562"/>
    </row>
    <row s="1666" customFormat="1" customHeight="1" ht="11.25">
      <c r="A189" s="982"/>
      <c r="B189" s="1661"/>
      <c r="C189" s="1661"/>
      <c r="D189" s="339"/>
      <c r="K189" s="1155"/>
      <c r="L189" s="1661"/>
      <c r="M189" s="1661"/>
      <c r="N189" s="1155"/>
      <c r="O189" s="1155"/>
      <c r="P189" s="1155"/>
      <c r="Q189" s="1155"/>
      <c r="R189" s="1661"/>
      <c r="S189" s="1155"/>
      <c r="T189" s="1155"/>
      <c r="U189" s="540"/>
      <c r="V189" s="1155"/>
      <c r="W189" s="1155"/>
      <c r="X189" s="1155"/>
      <c r="Y189" s="1155"/>
      <c r="Z189" s="1155"/>
      <c r="AA189" s="1657"/>
      <c r="AB189" s="562"/>
      <c r="AC189" s="562"/>
      <c r="AD189" s="562"/>
      <c r="AE189" s="562"/>
    </row>
    <row s="1666" customFormat="1" customHeight="1" ht="11.25">
      <c r="A190" s="982"/>
      <c r="B190" s="1661"/>
      <c r="C190" s="1661"/>
      <c r="D190" s="339"/>
      <c r="K190" s="1155"/>
      <c r="L190" s="1661"/>
      <c r="M190" s="1661"/>
      <c r="N190" s="1155"/>
      <c r="O190" s="1155"/>
      <c r="P190" s="1155"/>
      <c r="Q190" s="1155"/>
      <c r="R190" s="1661"/>
      <c r="S190" s="1155"/>
      <c r="T190" s="1155"/>
      <c r="U190" s="540"/>
      <c r="V190" s="1155"/>
      <c r="W190" s="1155"/>
      <c r="X190" s="1155"/>
      <c r="Y190" s="1155"/>
      <c r="Z190" s="1155"/>
      <c r="AA190" s="1657"/>
      <c r="AB190" s="562"/>
      <c r="AC190" s="562"/>
      <c r="AD190" s="562"/>
      <c r="AE190" s="562"/>
    </row>
    <row s="1666" customFormat="1" customHeight="1" ht="11.25">
      <c r="A191" s="982"/>
      <c r="B191" s="1661"/>
      <c r="C191" s="1661"/>
      <c r="D191" s="339"/>
      <c r="K191" s="1155"/>
      <c r="L191" s="1661"/>
      <c r="M191" s="1661"/>
      <c r="N191" s="1155"/>
      <c r="O191" s="1155"/>
      <c r="P191" s="1155"/>
      <c r="Q191" s="1155"/>
      <c r="R191" s="1661"/>
      <c r="S191" s="1155"/>
      <c r="T191" s="1155"/>
      <c r="U191" s="540"/>
      <c r="V191" s="1155"/>
      <c r="W191" s="1155"/>
      <c r="X191" s="1155"/>
      <c r="Y191" s="1155"/>
      <c r="Z191" s="1155"/>
      <c r="AA191" s="1657"/>
      <c r="AB191" s="562"/>
      <c r="AC191" s="562"/>
      <c r="AD191" s="562"/>
      <c r="AE191" s="562"/>
    </row>
    <row s="1666" customFormat="1" customHeight="1" ht="11.25">
      <c r="A192" s="982"/>
      <c r="B192" s="1661"/>
      <c r="C192" s="1661"/>
      <c r="D192" s="339"/>
      <c r="K192" s="1155"/>
      <c r="L192" s="1661"/>
      <c r="M192" s="1661"/>
      <c r="N192" s="1155"/>
      <c r="O192" s="1155"/>
      <c r="P192" s="1155"/>
      <c r="Q192" s="1155"/>
      <c r="R192" s="1661"/>
      <c r="S192" s="1155"/>
      <c r="T192" s="1155"/>
      <c r="U192" s="540"/>
      <c r="V192" s="1155"/>
      <c r="W192" s="1155"/>
      <c r="X192" s="1155"/>
      <c r="Y192" s="1155"/>
      <c r="Z192" s="1155"/>
      <c r="AA192" s="1657"/>
      <c r="AB192" s="562"/>
      <c r="AC192" s="562"/>
      <c r="AD192" s="562"/>
      <c r="AE192" s="562"/>
    </row>
    <row s="1666" customFormat="1" customHeight="1" ht="11.25">
      <c r="A193" s="982"/>
      <c r="B193" s="1661"/>
      <c r="C193" s="1661"/>
      <c r="D193" s="339"/>
      <c r="K193" s="1155"/>
      <c r="L193" s="1661"/>
      <c r="M193" s="1661"/>
      <c r="N193" s="1155"/>
      <c r="O193" s="1155"/>
      <c r="P193" s="1155"/>
      <c r="Q193" s="1155"/>
      <c r="R193" s="1661"/>
      <c r="S193" s="1155"/>
      <c r="T193" s="1155"/>
      <c r="U193" s="540"/>
      <c r="V193" s="1155"/>
      <c r="W193" s="1155"/>
      <c r="X193" s="1155"/>
      <c r="Y193" s="1155"/>
      <c r="Z193" s="1155"/>
      <c r="AA193" s="1657"/>
      <c r="AB193" s="562"/>
      <c r="AC193" s="562"/>
      <c r="AD193" s="562"/>
      <c r="AE193" s="562"/>
    </row>
    <row s="1666" customFormat="1" customHeight="1" ht="11.25">
      <c r="A194" s="982"/>
      <c r="B194" s="1661"/>
      <c r="C194" s="1661"/>
      <c r="D194" s="339"/>
      <c r="K194" s="1155"/>
      <c r="L194" s="1661"/>
      <c r="M194" s="1661"/>
      <c r="N194" s="1155"/>
      <c r="O194" s="1155"/>
      <c r="P194" s="1155"/>
      <c r="Q194" s="1155"/>
      <c r="R194" s="1661"/>
      <c r="S194" s="1155"/>
      <c r="T194" s="1155"/>
      <c r="U194" s="540"/>
      <c r="V194" s="1155"/>
      <c r="W194" s="1155"/>
      <c r="X194" s="1155"/>
      <c r="Y194" s="1155"/>
      <c r="Z194" s="1155"/>
      <c r="AA194" s="1657"/>
      <c r="AB194" s="562"/>
      <c r="AC194" s="562"/>
      <c r="AD194" s="562"/>
      <c r="AE194" s="562"/>
    </row>
    <row s="1666" customFormat="1" customHeight="1" ht="11.25">
      <c r="A195" s="982"/>
      <c r="B195" s="1661"/>
      <c r="C195" s="1661"/>
      <c r="D195" s="339"/>
      <c r="K195" s="1155"/>
      <c r="L195" s="1661"/>
      <c r="M195" s="1661"/>
      <c r="N195" s="1155"/>
      <c r="O195" s="1155"/>
      <c r="P195" s="1155"/>
      <c r="Q195" s="1155"/>
      <c r="R195" s="1661"/>
      <c r="S195" s="1155"/>
      <c r="T195" s="1155"/>
      <c r="U195" s="540"/>
      <c r="V195" s="1155"/>
      <c r="W195" s="1155"/>
      <c r="X195" s="1155"/>
      <c r="Y195" s="1155"/>
      <c r="Z195" s="1155"/>
      <c r="AA195" s="1657"/>
      <c r="AB195" s="562"/>
      <c r="AC195" s="562"/>
      <c r="AD195" s="562"/>
      <c r="AE195" s="562"/>
    </row>
    <row s="1666" customFormat="1" customHeight="1" ht="11.25">
      <c r="A196" s="982"/>
      <c r="B196" s="1661"/>
      <c r="C196" s="1661"/>
      <c r="D196" s="339"/>
      <c r="K196" s="1155"/>
      <c r="L196" s="1661"/>
      <c r="M196" s="1661"/>
      <c r="N196" s="1155"/>
      <c r="O196" s="1155"/>
      <c r="P196" s="1155"/>
      <c r="Q196" s="1155"/>
      <c r="R196" s="1661"/>
      <c r="S196" s="1155"/>
      <c r="T196" s="1155"/>
      <c r="U196" s="540"/>
      <c r="V196" s="1155"/>
      <c r="W196" s="1155"/>
      <c r="X196" s="1155"/>
      <c r="Y196" s="1155"/>
      <c r="Z196" s="1155"/>
      <c r="AA196" s="1657"/>
      <c r="AB196" s="562"/>
      <c r="AC196" s="562"/>
      <c r="AD196" s="562"/>
      <c r="AE196" s="562"/>
    </row>
    <row s="1666" customFormat="1" customHeight="1" ht="11.25">
      <c r="A197" s="982"/>
      <c r="B197" s="1661"/>
      <c r="C197" s="1661"/>
      <c r="D197" s="339"/>
      <c r="K197" s="1155"/>
      <c r="L197" s="1661"/>
      <c r="M197" s="1661"/>
      <c r="N197" s="1155"/>
      <c r="O197" s="1155"/>
      <c r="P197" s="1155"/>
      <c r="Q197" s="1155"/>
      <c r="R197" s="1661"/>
      <c r="S197" s="1155"/>
      <c r="T197" s="1155"/>
      <c r="U197" s="540"/>
      <c r="V197" s="1155"/>
      <c r="W197" s="1155"/>
      <c r="X197" s="1155"/>
      <c r="Y197" s="1155"/>
      <c r="Z197" s="1155"/>
      <c r="AA197" s="1657"/>
      <c r="AB197" s="562"/>
      <c r="AC197" s="562"/>
      <c r="AD197" s="562"/>
      <c r="AE197" s="562"/>
    </row>
    <row s="1666" customFormat="1" customHeight="1" ht="11.25">
      <c r="A198" s="982"/>
      <c r="B198" s="1661"/>
      <c r="C198" s="1661"/>
      <c r="D198" s="339"/>
      <c r="K198" s="1155"/>
      <c r="L198" s="1661"/>
      <c r="M198" s="1661"/>
      <c r="N198" s="1155"/>
      <c r="O198" s="1155"/>
      <c r="P198" s="1155"/>
      <c r="Q198" s="1155"/>
      <c r="R198" s="1661"/>
      <c r="S198" s="1155"/>
      <c r="T198" s="1155"/>
      <c r="U198" s="540"/>
      <c r="V198" s="1155"/>
      <c r="W198" s="1155"/>
      <c r="X198" s="1155"/>
      <c r="Y198" s="1155"/>
      <c r="Z198" s="1155"/>
      <c r="AA198" s="1657"/>
      <c r="AB198" s="562"/>
      <c r="AC198" s="562"/>
      <c r="AD198" s="562"/>
      <c r="AE198" s="562"/>
    </row>
    <row s="1666" customFormat="1" customHeight="1" ht="11.25">
      <c r="A199" s="982"/>
      <c r="B199" s="1661"/>
      <c r="C199" s="1661"/>
      <c r="D199" s="339"/>
      <c r="K199" s="1155"/>
      <c r="L199" s="1661"/>
      <c r="M199" s="1661"/>
      <c r="N199" s="1155"/>
      <c r="O199" s="1155"/>
      <c r="P199" s="1155"/>
      <c r="Q199" s="1155"/>
      <c r="R199" s="1661"/>
      <c r="S199" s="1155"/>
      <c r="T199" s="1155"/>
      <c r="U199" s="540"/>
      <c r="V199" s="1155"/>
      <c r="W199" s="1155"/>
      <c r="X199" s="1155"/>
      <c r="Y199" s="1155"/>
      <c r="Z199" s="1155"/>
      <c r="AA199" s="1657"/>
      <c r="AB199" s="562"/>
      <c r="AC199" s="562"/>
      <c r="AD199" s="562"/>
      <c r="AE199" s="562"/>
    </row>
    <row s="1666" customFormat="1" customHeight="1" ht="11.25">
      <c r="A200" s="982"/>
      <c r="B200" s="1661"/>
      <c r="C200" s="1661"/>
      <c r="D200" s="339"/>
      <c r="K200" s="1155"/>
      <c r="L200" s="1661"/>
      <c r="M200" s="1661"/>
      <c r="N200" s="1155"/>
      <c r="O200" s="1155"/>
      <c r="P200" s="1155"/>
      <c r="Q200" s="1155"/>
      <c r="R200" s="1661"/>
      <c r="S200" s="1155"/>
      <c r="T200" s="1155"/>
      <c r="U200" s="540"/>
      <c r="V200" s="1155"/>
      <c r="W200" s="1155"/>
      <c r="X200" s="1155"/>
      <c r="Y200" s="1155"/>
      <c r="Z200" s="1155"/>
      <c r="AA200" s="1657"/>
      <c r="AB200" s="562"/>
      <c r="AC200" s="562"/>
      <c r="AD200" s="562"/>
      <c r="AE200" s="562"/>
    </row>
    <row s="1666" customFormat="1" customHeight="1" ht="11.25">
      <c r="A201" s="982"/>
      <c r="B201" s="1661"/>
      <c r="C201" s="1661"/>
      <c r="D201" s="339"/>
      <c r="K201" s="1155"/>
      <c r="L201" s="1661"/>
      <c r="M201" s="1661"/>
      <c r="N201" s="1155"/>
      <c r="O201" s="1155"/>
      <c r="P201" s="1155"/>
      <c r="Q201" s="1155"/>
      <c r="R201" s="1661"/>
      <c r="S201" s="1155"/>
      <c r="T201" s="1155"/>
      <c r="U201" s="540"/>
      <c r="V201" s="1155"/>
      <c r="W201" s="1155"/>
      <c r="X201" s="1155"/>
      <c r="Y201" s="1155"/>
      <c r="Z201" s="1155"/>
      <c r="AA201" s="1657"/>
      <c r="AB201" s="562"/>
      <c r="AC201" s="562"/>
      <c r="AD201" s="562"/>
      <c r="AE201" s="562"/>
    </row>
    <row s="1666" customFormat="1" customHeight="1" ht="11.25">
      <c r="A202" s="982"/>
      <c r="B202" s="1661"/>
      <c r="C202" s="1661"/>
      <c r="D202" s="339"/>
      <c r="K202" s="1155"/>
      <c r="L202" s="1661"/>
      <c r="M202" s="1661"/>
      <c r="N202" s="1155"/>
      <c r="O202" s="1155"/>
      <c r="P202" s="1155"/>
      <c r="Q202" s="1155"/>
      <c r="R202" s="1661"/>
      <c r="S202" s="1155"/>
      <c r="T202" s="1155"/>
      <c r="U202" s="540"/>
      <c r="V202" s="1155"/>
      <c r="W202" s="1155"/>
      <c r="X202" s="1155"/>
      <c r="Y202" s="1155"/>
      <c r="Z202" s="1155"/>
      <c r="AA202" s="1657"/>
      <c r="AB202" s="562"/>
      <c r="AC202" s="562"/>
      <c r="AD202" s="562"/>
      <c r="AE202" s="562"/>
    </row>
    <row s="1666" customFormat="1" customHeight="1" ht="11.25">
      <c r="A203" s="982"/>
      <c r="B203" s="1661"/>
      <c r="C203" s="1661"/>
      <c r="D203" s="339"/>
      <c r="K203" s="1155"/>
      <c r="L203" s="1661"/>
      <c r="M203" s="1661"/>
      <c r="N203" s="1155"/>
      <c r="O203" s="1155"/>
      <c r="P203" s="1155"/>
      <c r="Q203" s="1155"/>
      <c r="R203" s="1661"/>
      <c r="S203" s="1155"/>
      <c r="T203" s="1155"/>
      <c r="U203" s="540"/>
      <c r="V203" s="1155"/>
      <c r="W203" s="1155"/>
      <c r="X203" s="1155"/>
      <c r="Y203" s="1155"/>
      <c r="Z203" s="1155"/>
      <c r="AA203" s="1657"/>
      <c r="AB203" s="562"/>
      <c r="AC203" s="562"/>
      <c r="AD203" s="562"/>
      <c r="AE203" s="562"/>
    </row>
    <row s="1666" customFormat="1" customHeight="1" ht="11.25">
      <c r="A204" s="982"/>
      <c r="B204" s="1661"/>
      <c r="C204" s="1661"/>
      <c r="D204" s="339"/>
      <c r="K204" s="1155"/>
      <c r="L204" s="1661"/>
      <c r="M204" s="1661"/>
      <c r="N204" s="1155"/>
      <c r="O204" s="1155"/>
      <c r="P204" s="1155"/>
      <c r="Q204" s="1155"/>
      <c r="R204" s="1661"/>
      <c r="S204" s="1155"/>
      <c r="T204" s="1155"/>
      <c r="U204" s="540"/>
      <c r="V204" s="1155"/>
      <c r="W204" s="1155"/>
      <c r="X204" s="1155"/>
      <c r="Y204" s="1155"/>
      <c r="Z204" s="1155"/>
      <c r="AA204" s="1657"/>
      <c r="AB204" s="562"/>
      <c r="AC204" s="562"/>
      <c r="AD204" s="562"/>
      <c r="AE204" s="562"/>
    </row>
    <row r="208" customHeight="1" ht="11.25">
      <c r="A208" s="985"/>
      <c r="B208" s="1656"/>
      <c r="D208" s="1656"/>
      <c r="K208" s="1656"/>
      <c r="N208" s="1656"/>
      <c r="O208" s="1656"/>
      <c r="P208" s="1656"/>
      <c r="Q208" s="1656"/>
      <c r="S208" s="1656"/>
      <c r="T208" s="1656"/>
      <c r="U208" s="1656"/>
      <c r="V208" s="1656"/>
      <c r="W208" s="1656"/>
      <c r="X208" s="1656"/>
      <c r="Y208" s="1656"/>
      <c r="Z208" s="1656"/>
      <c r="AA208" s="1656"/>
      <c r="AB208" s="1656"/>
      <c r="AC208" s="1656"/>
      <c r="AD208" s="1656"/>
      <c r="AE208" s="1656"/>
    </row>
    <row customHeight="1" ht="11.25">
      <c r="A209" s="985"/>
      <c r="B209" s="1656"/>
      <c r="D209" s="1656"/>
      <c r="K209" s="1656"/>
      <c r="N209" s="1656"/>
      <c r="O209" s="1656"/>
      <c r="P209" s="1656"/>
      <c r="Q209" s="1656"/>
      <c r="S209" s="1656"/>
      <c r="T209" s="1656"/>
      <c r="U209" s="1656"/>
      <c r="V209" s="1656"/>
      <c r="W209" s="1656"/>
      <c r="X209" s="1656"/>
      <c r="Y209" s="1656"/>
      <c r="Z209" s="1656"/>
      <c r="AA209" s="1656"/>
      <c r="AB209" s="1656"/>
      <c r="AC209" s="1656"/>
      <c r="AD209" s="1656"/>
      <c r="AE209" s="1656"/>
    </row>
    <row customHeight="1" ht="11.25">
      <c r="A210" s="985"/>
      <c r="B210" s="1656"/>
      <c r="D210" s="1656"/>
      <c r="K210" s="1656"/>
      <c r="N210" s="1656"/>
      <c r="O210" s="1656"/>
      <c r="P210" s="1656"/>
      <c r="Q210" s="1656"/>
      <c r="S210" s="1656"/>
      <c r="T210" s="1656"/>
      <c r="U210" s="1656"/>
      <c r="V210" s="1656"/>
      <c r="W210" s="1656"/>
      <c r="X210" s="1656"/>
      <c r="Y210" s="1656"/>
      <c r="Z210" s="1656"/>
      <c r="AA210" s="1656"/>
      <c r="AB210" s="1656"/>
      <c r="AC210" s="1656"/>
      <c r="AD210" s="1656"/>
      <c r="AE210" s="1656"/>
    </row>
    <row customHeight="1" ht="11.25">
      <c r="A211" s="985"/>
      <c r="B211" s="1656"/>
      <c r="D211" s="1656"/>
      <c r="K211" s="1656"/>
      <c r="N211" s="1656"/>
      <c r="O211" s="1656"/>
      <c r="P211" s="1656"/>
      <c r="Q211" s="1656"/>
      <c r="S211" s="1656"/>
      <c r="T211" s="1656"/>
      <c r="U211" s="1656"/>
      <c r="V211" s="1656"/>
      <c r="W211" s="1656"/>
      <c r="X211" s="1656"/>
      <c r="Y211" s="1656"/>
      <c r="Z211" s="1656"/>
      <c r="AA211" s="1656"/>
      <c r="AB211" s="1656"/>
      <c r="AC211" s="1656"/>
      <c r="AD211" s="1656"/>
      <c r="AE211" s="1656"/>
    </row>
    <row customHeight="1" ht="11.25">
      <c r="A212" s="985"/>
      <c r="B212" s="1656"/>
      <c r="D212" s="1656"/>
      <c r="K212" s="1656"/>
      <c r="N212" s="1656"/>
      <c r="O212" s="1656"/>
      <c r="P212" s="1656"/>
      <c r="Q212" s="1656"/>
      <c r="S212" s="1656"/>
      <c r="T212" s="1656"/>
      <c r="U212" s="1656"/>
      <c r="V212" s="1656"/>
      <c r="W212" s="1656"/>
      <c r="X212" s="1656"/>
      <c r="Y212" s="1656"/>
      <c r="Z212" s="1656"/>
      <c r="AA212" s="1656"/>
      <c r="AB212" s="1656"/>
      <c r="AC212" s="1656"/>
      <c r="AD212" s="1656"/>
      <c r="AE212" s="1656"/>
    </row>
    <row customHeight="1" ht="11.25">
      <c r="A213" s="985"/>
      <c r="B213" s="1656"/>
      <c r="D213" s="1656"/>
      <c r="K213" s="1656"/>
      <c r="N213" s="1656"/>
      <c r="O213" s="1656"/>
      <c r="P213" s="1656"/>
      <c r="Q213" s="1656"/>
      <c r="S213" s="1656"/>
      <c r="T213" s="1656"/>
      <c r="U213" s="1656"/>
      <c r="V213" s="1656"/>
      <c r="W213" s="1656"/>
      <c r="X213" s="1656"/>
      <c r="Y213" s="1656"/>
      <c r="Z213" s="1656"/>
      <c r="AA213" s="1656"/>
      <c r="AB213" s="1656"/>
      <c r="AC213" s="1656"/>
      <c r="AD213" s="1656"/>
      <c r="AE213" s="1656"/>
    </row>
    <row customHeight="1" ht="11.25">
      <c r="A214" s="985"/>
      <c r="B214" s="1656"/>
      <c r="D214" s="1656"/>
      <c r="K214" s="1656"/>
      <c r="N214" s="1656"/>
      <c r="O214" s="1656"/>
      <c r="P214" s="1656"/>
      <c r="Q214" s="1656"/>
      <c r="S214" s="1656"/>
      <c r="T214" s="1656"/>
      <c r="U214" s="1656"/>
      <c r="V214" s="1656"/>
      <c r="W214" s="1656"/>
      <c r="X214" s="1656"/>
      <c r="Y214" s="1656"/>
      <c r="Z214" s="1656"/>
      <c r="AA214" s="1656"/>
      <c r="AB214" s="1656"/>
      <c r="AC214" s="1656"/>
      <c r="AD214" s="1656"/>
      <c r="AE214" s="1656"/>
    </row>
    <row customHeight="1" ht="11.25">
      <c r="A215" s="985"/>
      <c r="B215" s="1656"/>
      <c r="D215" s="1656"/>
      <c r="K215" s="1656"/>
      <c r="N215" s="1656"/>
      <c r="O215" s="1656"/>
      <c r="P215" s="1656"/>
      <c r="Q215" s="1656"/>
      <c r="S215" s="1656"/>
      <c r="T215" s="1656"/>
      <c r="U215" s="1656"/>
      <c r="V215" s="1656"/>
      <c r="W215" s="1656"/>
      <c r="X215" s="1656"/>
      <c r="Y215" s="1656"/>
      <c r="Z215" s="1656"/>
      <c r="AA215" s="1656"/>
      <c r="AB215" s="1656"/>
      <c r="AC215" s="1656"/>
      <c r="AD215" s="1656"/>
      <c r="AE215" s="1656"/>
    </row>
    <row customHeight="1" ht="11.25">
      <c r="A216" s="985"/>
      <c r="B216" s="1656"/>
      <c r="D216" s="1656"/>
      <c r="K216" s="1656"/>
      <c r="N216" s="1656"/>
      <c r="O216" s="1656"/>
      <c r="P216" s="1656"/>
      <c r="Q216" s="1656"/>
      <c r="S216" s="1656"/>
      <c r="T216" s="1656"/>
      <c r="U216" s="1656"/>
      <c r="V216" s="1656"/>
      <c r="W216" s="1656"/>
      <c r="X216" s="1656"/>
      <c r="Y216" s="1656"/>
      <c r="Z216" s="1656"/>
      <c r="AA216" s="1656"/>
      <c r="AB216" s="1656"/>
      <c r="AC216" s="1656"/>
      <c r="AD216" s="1656"/>
      <c r="AE216" s="1656"/>
    </row>
    <row customHeight="1" ht="11.25">
      <c r="A217" s="985"/>
      <c r="B217" s="1656"/>
      <c r="D217" s="1656"/>
      <c r="K217" s="1656"/>
      <c r="N217" s="1656"/>
      <c r="O217" s="1656"/>
      <c r="P217" s="1656"/>
      <c r="Q217" s="1656"/>
      <c r="S217" s="1656"/>
      <c r="T217" s="1656"/>
      <c r="U217" s="1656"/>
      <c r="V217" s="1656"/>
      <c r="W217" s="1656"/>
      <c r="X217" s="1656"/>
      <c r="Y217" s="1656"/>
      <c r="Z217" s="1656"/>
      <c r="AA217" s="1656"/>
      <c r="AB217" s="1656"/>
      <c r="AC217" s="1656"/>
      <c r="AD217" s="1656"/>
      <c r="AE217" s="1656"/>
    </row>
    <row customHeight="1" ht="11.25">
      <c r="A218" s="985"/>
      <c r="B218" s="1656"/>
      <c r="D218" s="1656"/>
      <c r="K218" s="1656"/>
      <c r="N218" s="1656"/>
      <c r="O218" s="1656"/>
      <c r="P218" s="1656"/>
      <c r="Q218" s="1656"/>
      <c r="S218" s="1656"/>
      <c r="T218" s="1656"/>
      <c r="U218" s="1656"/>
      <c r="V218" s="1656"/>
      <c r="W218" s="1656"/>
      <c r="X218" s="1656"/>
      <c r="Y218" s="1656"/>
      <c r="Z218" s="1656"/>
      <c r="AA218" s="1656"/>
      <c r="AB218" s="1656"/>
      <c r="AC218" s="1656"/>
      <c r="AD218" s="1656"/>
      <c r="AE218" s="1656"/>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9CE949-E934-C1B1-01CC-0BC19C8855D8}"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982" width="10.7109375" hidden="1" customWidth="1"/>
    <col min="2" max="2" style="1383" width="16.8515625" hidden="1" customWidth="1"/>
    <col min="3" max="3" style="1667" width="5.57421875" hidden="1" customWidth="1"/>
    <col min="4" max="4" style="1660" width="3.7109375" customWidth="1"/>
    <col min="5" max="5" style="1660" width="7.7109375" customWidth="1"/>
    <col min="6" max="6" style="1660" width="54.57421875" customWidth="1"/>
    <col min="7" max="7" style="1660" width="10.421875" customWidth="1"/>
    <col min="8" max="8" style="1660" width="40.7109375" hidden="1" customWidth="1"/>
    <col min="9" max="9" style="1660" width="40.7109375" customWidth="1"/>
    <col min="10" max="10" style="1660" width="102.8515625" customWidth="1"/>
    <col min="11" max="11" style="1383" width="9.7109375" customWidth="1"/>
    <col min="12" max="12" style="1667" width="5.28125" customWidth="1"/>
    <col min="13" max="13" style="1667" width="3.7109375" customWidth="1"/>
    <col min="14" max="17" style="1383" width="3.7109375" customWidth="1"/>
    <col min="18" max="18" style="1667" width="10.57421875" customWidth="1"/>
    <col min="19" max="19" style="1383" width="34.7109375" customWidth="1"/>
    <col min="20" max="20" style="1383" width="9.421875" customWidth="1"/>
    <col min="21" max="21" style="731" width="9.140625"/>
    <col min="22" max="26" style="1383" width="9.140625"/>
    <col min="27" max="31" style="1657" width="9.140625"/>
  </cols>
  <sheetData>
    <row s="1383" customFormat="1" customHeight="1" ht="11.25" hidden="1">
      <c r="A1" s="982"/>
      <c r="C1" s="1661"/>
      <c r="D1" s="533"/>
      <c r="H1" s="1155">
        <v>4</v>
      </c>
      <c r="I1" s="1155">
        <v>4</v>
      </c>
      <c r="L1" s="1661"/>
      <c r="M1" s="1661"/>
      <c r="R1" s="1661"/>
    </row>
    <row s="1383" customFormat="1" customHeight="1" ht="22.5" hidden="1">
      <c r="A2" s="982"/>
      <c r="C2" s="1661"/>
      <c r="D2" s="534"/>
      <c r="E2" s="1683"/>
      <c r="F2" s="536"/>
      <c r="G2" s="1682" t="s">
        <v>551</v>
      </c>
      <c r="H2" s="537"/>
      <c r="I2" s="537"/>
      <c r="J2" s="538" t="s">
        <v>554</v>
      </c>
      <c r="K2" s="539"/>
      <c r="L2" s="1661"/>
      <c r="M2" s="1661"/>
      <c r="R2" s="1661"/>
      <c r="U2" s="540"/>
      <c r="AA2" s="1657"/>
      <c r="AB2" s="1657"/>
      <c r="AC2" s="1657"/>
      <c r="AD2" s="1657"/>
      <c r="AE2" s="1657"/>
    </row>
    <row customHeight="1" ht="11.25" hidden="1"/>
    <row s="1657" customFormat="1" customHeight="1" ht="11.25" hidden="1">
      <c r="A4" s="982"/>
      <c r="B4" s="1155"/>
      <c r="C4" s="1661"/>
      <c r="D4" s="352"/>
      <c r="J4" s="1657">
        <v>4</v>
      </c>
      <c r="K4" s="1155"/>
      <c r="L4" s="1661"/>
      <c r="M4" s="1661"/>
      <c r="N4" s="1155"/>
      <c r="O4" s="1155"/>
      <c r="P4" s="1155"/>
      <c r="Q4" s="1155"/>
      <c r="R4" s="1661"/>
      <c r="S4" s="1155"/>
      <c r="T4" s="1155"/>
      <c r="U4" s="540"/>
      <c r="V4" s="1155"/>
      <c r="W4" s="1155"/>
      <c r="X4" s="1155"/>
      <c r="Y4" s="1155"/>
      <c r="Z4" s="1155"/>
    </row>
    <row r="6" customHeight="1" ht="32.25">
      <c r="E6" s="2122" t="s">
        <v>688</v>
      </c>
      <c r="F6" s="2122"/>
      <c r="G6" s="2122"/>
      <c r="H6" s="2122"/>
      <c r="I6" s="2122"/>
      <c r="J6" s="552"/>
    </row>
    <row customHeight="1" ht="24">
      <c r="E7" s="2123" t="str">
        <f>IF(org=0,"Не определено",org)</f>
        <v>ООО "ПРОМ ИМПУЛЬС"</v>
      </c>
      <c r="F7" s="2123"/>
      <c r="G7" s="2123"/>
      <c r="H7" s="2123"/>
      <c r="I7" s="2123"/>
    </row>
    <row customHeight="1" ht="11.25">
      <c r="E8" s="1130"/>
      <c r="F8" s="1130"/>
      <c r="G8" s="1130"/>
      <c r="H8" s="1130"/>
      <c r="I8" s="1130"/>
    </row>
    <row s="1667" customFormat="1" customHeight="1" ht="0.75">
      <c r="A9" s="1162"/>
      <c r="D9" s="1667"/>
      <c r="H9" s="883"/>
      <c r="I9" s="883" t="s">
        <v>116</v>
      </c>
    </row>
    <row customHeight="1" ht="11.25">
      <c r="E10" s="706"/>
      <c r="F10" s="2195" t="s">
        <v>104</v>
      </c>
      <c r="G10" s="2196"/>
      <c r="H10" s="1684" t="str">
        <f>IF(H9="","",INDEX(DIFFERENTIATION_UNMERGE_VD,MATCH(H9,DIFFERENTIATION_ID_DIFF,0)))</f>
        <v/>
      </c>
      <c r="I10" s="1684">
        <f>IF(I9="","",INDEX(DIFFERENTIATION_UNMERGE_VD,MATCH(I9,DIFFERENTIATION_ID_DIFF,0)))</f>
        <v>0</v>
      </c>
      <c r="J10" s="1953"/>
    </row>
    <row customHeight="1" ht="11.25">
      <c r="E11" s="706"/>
      <c r="F11" s="2195" t="s">
        <v>563</v>
      </c>
      <c r="G11" s="2196"/>
      <c r="H11" s="1684" t="str">
        <f>IF(H9="","",INDEX(DIFFERENTIATION_UNMERGE_AREA,MATCH(H9,DIFFERENTIATION_ID_DIFF,0)))</f>
        <v/>
      </c>
      <c r="I11" s="1684" t="str">
        <f>IF(I9="","",INDEX(DIFFERENTIATION_UNMERGE_AREA,MATCH(I9,DIFFERENTIATION_ID_DIFF,0)))</f>
        <v/>
      </c>
      <c r="J11" s="1953"/>
    </row>
    <row customHeight="1" ht="11.25" hidden="1">
      <c r="E12" s="1687"/>
      <c r="F12" s="2210" t="s">
        <v>564</v>
      </c>
      <c r="G12" s="2211"/>
      <c r="H12" s="1688" t="str">
        <f>IF(H9="","",INDEX(DIFFERENTIATION_UNMERGE_SYSTEM,MATCH(H9,DIFFERENTIATION_ID_DIFF,0)))</f>
        <v/>
      </c>
      <c r="I12" s="1688" t="str">
        <f>IF(I9="","",INDEX(DIFFERENTIATION_UNMERGE_SYSTEM,MATCH(I9,DIFFERENTIATION_ID_DIFF,0)))</f>
        <v>без дифференциации</v>
      </c>
      <c r="J12" s="1953"/>
    </row>
    <row customHeight="1" ht="11.25">
      <c r="E13" s="2197" t="s">
        <v>305</v>
      </c>
      <c r="F13" s="2198"/>
      <c r="G13" s="2198"/>
      <c r="H13" s="1681"/>
      <c r="I13" s="1681"/>
      <c r="J13" s="1953"/>
    </row>
    <row customHeight="1" ht="22.5">
      <c r="E14" s="1682" t="s">
        <v>87</v>
      </c>
      <c r="F14" s="1685" t="s">
        <v>307</v>
      </c>
      <c r="G14" s="1685" t="s">
        <v>565</v>
      </c>
      <c r="H14" s="1685" t="s">
        <v>308</v>
      </c>
      <c r="I14" s="1685" t="s">
        <v>308</v>
      </c>
      <c r="J14" s="1953"/>
    </row>
    <row customHeight="1" ht="18.75">
      <c r="D15" s="1663"/>
      <c r="E15" s="1655" t="s">
        <v>108</v>
      </c>
      <c r="F15" s="702" t="s">
        <v>689</v>
      </c>
      <c r="G15" s="1682" t="s">
        <v>551</v>
      </c>
      <c r="H15" s="553"/>
      <c r="I15" s="553"/>
      <c r="J15" s="270" t="s">
        <v>690</v>
      </c>
      <c r="K15" s="539" t="s">
        <v>618</v>
      </c>
    </row>
    <row customHeight="1" ht="22.5">
      <c r="D16" s="1663"/>
      <c r="E16" s="1655" t="s">
        <v>109</v>
      </c>
      <c r="F16" s="1690" t="s">
        <v>691</v>
      </c>
      <c r="G16" s="1682" t="s">
        <v>551</v>
      </c>
      <c r="H16" s="554">
        <f>SUM(H17,H20:H27)</f>
        <v>0</v>
      </c>
      <c r="I16" s="554">
        <f>SUM(I17,I20:I27)</f>
        <v>0</v>
      </c>
      <c r="J16" s="270" t="s">
        <v>692</v>
      </c>
      <c r="K16" s="539" t="s">
        <v>618</v>
      </c>
    </row>
    <row customHeight="1" ht="33.75">
      <c r="D17" s="1663"/>
      <c r="E17" s="1689" t="s">
        <v>621</v>
      </c>
      <c r="F17" s="1692" t="s">
        <v>693</v>
      </c>
      <c r="G17" s="1679" t="s">
        <v>551</v>
      </c>
      <c r="H17" s="553"/>
      <c r="I17" s="553"/>
      <c r="J17" s="270" t="s">
        <v>694</v>
      </c>
      <c r="K17" s="539"/>
    </row>
    <row customHeight="1" ht="18.75">
      <c r="D18" s="1663"/>
      <c r="E18" s="1689" t="s">
        <v>624</v>
      </c>
      <c r="F18" s="1693" t="s">
        <v>695</v>
      </c>
      <c r="G18" s="1679" t="s">
        <v>551</v>
      </c>
      <c r="H18" s="553"/>
      <c r="I18" s="553"/>
      <c r="J18" s="270"/>
      <c r="K18" s="539"/>
    </row>
    <row customHeight="1" ht="22.5">
      <c r="D19" s="1663"/>
      <c r="E19" s="1689" t="s">
        <v>627</v>
      </c>
      <c r="F19" s="1693" t="s">
        <v>696</v>
      </c>
      <c r="G19" s="1679" t="s">
        <v>551</v>
      </c>
      <c r="H19" s="553"/>
      <c r="I19" s="553"/>
      <c r="J19" s="270"/>
      <c r="K19" s="539"/>
    </row>
    <row customHeight="1" ht="33.75">
      <c r="D20" s="1663"/>
      <c r="E20" s="1689" t="s">
        <v>312</v>
      </c>
      <c r="F20" s="1692" t="s">
        <v>697</v>
      </c>
      <c r="G20" s="1679" t="s">
        <v>551</v>
      </c>
      <c r="H20" s="553"/>
      <c r="I20" s="553"/>
      <c r="J20" s="270"/>
      <c r="K20" s="539"/>
    </row>
    <row customHeight="1" ht="33.75">
      <c r="D21" s="1663"/>
      <c r="E21" s="1689" t="s">
        <v>315</v>
      </c>
      <c r="F21" s="1692" t="s">
        <v>698</v>
      </c>
      <c r="G21" s="1679" t="s">
        <v>551</v>
      </c>
      <c r="H21" s="553"/>
      <c r="I21" s="553"/>
      <c r="J21" s="270"/>
      <c r="K21" s="539"/>
    </row>
    <row customHeight="1" ht="56.25">
      <c r="D22" s="1663"/>
      <c r="E22" s="1689" t="s">
        <v>641</v>
      </c>
      <c r="F22" s="1692" t="s">
        <v>699</v>
      </c>
      <c r="G22" s="1679" t="s">
        <v>551</v>
      </c>
      <c r="H22" s="553"/>
      <c r="I22" s="553"/>
      <c r="J22" s="270"/>
      <c r="K22" s="539"/>
    </row>
    <row customHeight="1" ht="33.75">
      <c r="D23" s="1663"/>
      <c r="E23" s="1689" t="s">
        <v>648</v>
      </c>
      <c r="F23" s="1692" t="s">
        <v>700</v>
      </c>
      <c r="G23" s="1679" t="s">
        <v>551</v>
      </c>
      <c r="H23" s="553"/>
      <c r="I23" s="553"/>
      <c r="J23" s="270"/>
      <c r="K23" s="539"/>
    </row>
    <row customHeight="1" ht="33.75">
      <c r="D24" s="1663"/>
      <c r="E24" s="1689" t="s">
        <v>650</v>
      </c>
      <c r="F24" s="1692" t="s">
        <v>701</v>
      </c>
      <c r="G24" s="1679" t="s">
        <v>551</v>
      </c>
      <c r="H24" s="553"/>
      <c r="I24" s="553"/>
      <c r="J24" s="270"/>
      <c r="K24" s="539"/>
    </row>
    <row customHeight="1" ht="22.5">
      <c r="D25" s="1663"/>
      <c r="E25" s="1689" t="s">
        <v>652</v>
      </c>
      <c r="F25" s="1692" t="s">
        <v>702</v>
      </c>
      <c r="G25" s="1679" t="s">
        <v>551</v>
      </c>
      <c r="H25" s="553"/>
      <c r="I25" s="553"/>
      <c r="J25" s="270"/>
      <c r="K25" s="539"/>
    </row>
    <row customHeight="1" ht="67.5">
      <c r="D26" s="1663"/>
      <c r="E26" s="1689" t="s">
        <v>654</v>
      </c>
      <c r="F26" s="1692" t="s">
        <v>703</v>
      </c>
      <c r="G26" s="1679" t="s">
        <v>551</v>
      </c>
      <c r="H26" s="553"/>
      <c r="I26" s="553"/>
      <c r="J26" s="270"/>
      <c r="K26" s="539"/>
    </row>
    <row s="1383" customFormat="1" customHeight="1" ht="22.5">
      <c r="A27" s="982"/>
      <c r="C27" s="1661"/>
      <c r="D27" s="1663"/>
      <c r="E27" s="1654" t="s">
        <v>658</v>
      </c>
      <c r="F27" s="1653" t="s">
        <v>704</v>
      </c>
      <c r="G27" s="1680" t="s">
        <v>551</v>
      </c>
      <c r="H27" s="575">
        <f>SUM(H28:H29)</f>
        <v>0</v>
      </c>
      <c r="I27" s="575">
        <f>SUM(I28:I29)</f>
        <v>0</v>
      </c>
      <c r="J27" s="270" t="s">
        <v>656</v>
      </c>
      <c r="K27" s="539"/>
      <c r="L27" s="1661"/>
      <c r="M27" s="1661"/>
      <c r="R27" s="1661"/>
      <c r="U27" s="540"/>
      <c r="AA27" s="1657"/>
      <c r="AB27" s="1657"/>
      <c r="AC27" s="1657"/>
      <c r="AD27" s="1657"/>
      <c r="AE27" s="1657"/>
    </row>
    <row s="1667" customFormat="1" customHeight="1" ht="0.75">
      <c r="A28" s="1162"/>
      <c r="D28" s="544"/>
      <c r="E28" s="796" t="str">
        <f>E27&amp;".0"</f>
        <v>2.9.0</v>
      </c>
      <c r="F28" s="986"/>
      <c r="G28" s="547"/>
      <c r="H28" s="987"/>
      <c r="I28" s="987"/>
      <c r="J28" s="988"/>
    </row>
    <row s="1383" customFormat="1" customHeight="1" ht="18.75">
      <c r="A29" s="982"/>
      <c r="C29" s="1661"/>
      <c r="D29" s="1658"/>
      <c r="E29" s="566"/>
      <c r="F29" s="1691" t="s">
        <v>576</v>
      </c>
      <c r="G29" s="568"/>
      <c r="H29" s="569"/>
      <c r="I29" s="569"/>
      <c r="J29" s="281" t="s">
        <v>657</v>
      </c>
      <c r="K29" s="539"/>
      <c r="L29" s="1661"/>
      <c r="M29" s="1661"/>
      <c r="R29" s="1661"/>
      <c r="U29" s="540"/>
      <c r="AA29" s="1657"/>
      <c r="AB29" s="1657"/>
      <c r="AC29" s="1657"/>
      <c r="AD29" s="1657"/>
      <c r="AE29" s="1657"/>
    </row>
    <row s="1383" customFormat="1" customHeight="1" ht="22.5">
      <c r="A30" s="982"/>
      <c r="C30" s="1661"/>
      <c r="D30" s="1663"/>
      <c r="E30" s="1689" t="s">
        <v>89</v>
      </c>
      <c r="F30" s="1686" t="s">
        <v>705</v>
      </c>
      <c r="G30" s="1679" t="s">
        <v>551</v>
      </c>
      <c r="H30" s="553"/>
      <c r="I30" s="553"/>
      <c r="J30" s="270"/>
      <c r="K30" s="539"/>
      <c r="L30" s="1661"/>
      <c r="M30" s="1661"/>
      <c r="R30" s="1661"/>
      <c r="U30" s="540"/>
      <c r="AA30" s="1657"/>
      <c r="AB30" s="1657"/>
      <c r="AC30" s="1657"/>
      <c r="AD30" s="1657"/>
      <c r="AE30" s="1657"/>
    </row>
    <row s="1383" customFormat="1" customHeight="1" ht="33.75">
      <c r="A31" s="982"/>
      <c r="C31" s="1661"/>
      <c r="D31" s="571"/>
      <c r="E31" s="1689" t="s">
        <v>90</v>
      </c>
      <c r="F31" s="1686" t="s">
        <v>706</v>
      </c>
      <c r="G31" s="1679" t="s">
        <v>551</v>
      </c>
      <c r="H31" s="553"/>
      <c r="I31" s="553"/>
      <c r="J31" s="270" t="s">
        <v>707</v>
      </c>
      <c r="K31" s="539"/>
      <c r="L31" s="1661"/>
      <c r="M31" s="1661"/>
      <c r="R31" s="1661"/>
      <c r="U31" s="540"/>
      <c r="AA31" s="1657"/>
      <c r="AB31" s="1657"/>
      <c r="AC31" s="1657"/>
      <c r="AD31" s="1657"/>
      <c r="AE31" s="1657"/>
    </row>
    <row s="1383" customFormat="1" customHeight="1" ht="22.5">
      <c r="A32" s="982"/>
      <c r="C32" s="1661"/>
      <c r="D32" s="1663"/>
      <c r="E32" s="1689" t="s">
        <v>666</v>
      </c>
      <c r="F32" s="685" t="s">
        <v>670</v>
      </c>
      <c r="G32" s="1679" t="s">
        <v>551</v>
      </c>
      <c r="H32" s="553"/>
      <c r="I32" s="553"/>
      <c r="J32" s="270" t="s">
        <v>708</v>
      </c>
      <c r="K32" s="539"/>
      <c r="L32" s="1661"/>
      <c r="M32" s="1661"/>
      <c r="R32" s="1661"/>
      <c r="U32" s="540"/>
      <c r="AA32" s="1657"/>
      <c r="AB32" s="1657"/>
      <c r="AC32" s="1657"/>
      <c r="AD32" s="1657"/>
      <c r="AE32" s="1657"/>
    </row>
    <row s="1383" customFormat="1" customHeight="1" ht="22.5">
      <c r="A33" s="982"/>
      <c r="C33" s="1661"/>
      <c r="D33" s="1663"/>
      <c r="E33" s="1689" t="s">
        <v>709</v>
      </c>
      <c r="F33" s="685" t="s">
        <v>710</v>
      </c>
      <c r="G33" s="1679" t="s">
        <v>551</v>
      </c>
      <c r="H33" s="553"/>
      <c r="I33" s="553"/>
      <c r="J33" s="270" t="s">
        <v>711</v>
      </c>
      <c r="K33" s="539"/>
      <c r="L33" s="1661"/>
      <c r="M33" s="1661"/>
      <c r="R33" s="1661"/>
      <c r="U33" s="540"/>
      <c r="AA33" s="1657"/>
      <c r="AB33" s="1657"/>
      <c r="AC33" s="1657"/>
      <c r="AD33" s="1657"/>
      <c r="AE33" s="1657"/>
    </row>
    <row s="1383" customFormat="1" customHeight="1" ht="22.5">
      <c r="A34" s="982"/>
      <c r="C34" s="1661"/>
      <c r="D34" s="1663"/>
      <c r="E34" s="1689" t="s">
        <v>712</v>
      </c>
      <c r="F34" s="685" t="s">
        <v>676</v>
      </c>
      <c r="G34" s="1679" t="s">
        <v>551</v>
      </c>
      <c r="H34" s="553"/>
      <c r="I34" s="553"/>
      <c r="J34" s="270" t="s">
        <v>713</v>
      </c>
      <c r="K34" s="539"/>
      <c r="L34" s="1661"/>
      <c r="M34" s="1661"/>
      <c r="R34" s="1661"/>
      <c r="U34" s="540"/>
      <c r="AA34" s="1657"/>
      <c r="AB34" s="1657"/>
      <c r="AC34" s="1657"/>
      <c r="AD34" s="1657"/>
      <c r="AE34" s="1657"/>
    </row>
    <row s="1383" customFormat="1" customHeight="1" ht="33.75">
      <c r="A35" s="982"/>
      <c r="C35" s="1661" t="s">
        <v>587</v>
      </c>
      <c r="D35" s="1663"/>
      <c r="E35" s="1689" t="s">
        <v>110</v>
      </c>
      <c r="F35" s="1686" t="s">
        <v>678</v>
      </c>
      <c r="G35" s="1682" t="s">
        <v>311</v>
      </c>
      <c r="H35" s="398"/>
      <c r="I35" s="398"/>
      <c r="J35" s="270" t="s">
        <v>714</v>
      </c>
      <c r="K35" s="539"/>
      <c r="L35" s="1661"/>
      <c r="M35" s="1661"/>
      <c r="R35" s="1661"/>
      <c r="U35" s="540"/>
      <c r="AA35" s="1657"/>
      <c r="AB35" s="1657"/>
      <c r="AC35" s="1657"/>
      <c r="AD35" s="1657"/>
      <c r="AE35" s="1657"/>
    </row>
    <row s="1383" customFormat="1" customHeight="1" ht="22.5">
      <c r="A36" s="982"/>
      <c r="C36" s="1661"/>
      <c r="D36" s="1663"/>
      <c r="E36" s="1689" t="s">
        <v>91</v>
      </c>
      <c r="F36" s="1686" t="s">
        <v>715</v>
      </c>
      <c r="G36" s="1679" t="s">
        <v>682</v>
      </c>
      <c r="H36" s="541"/>
      <c r="I36" s="541"/>
      <c r="J36" s="270" t="s">
        <v>683</v>
      </c>
      <c r="K36" s="539"/>
      <c r="L36" s="1661"/>
      <c r="M36" s="1661"/>
      <c r="R36" s="1661"/>
      <c r="U36" s="540"/>
      <c r="AA36" s="1657"/>
      <c r="AB36" s="1657"/>
      <c r="AC36" s="1657"/>
      <c r="AD36" s="1657"/>
      <c r="AE36" s="1657"/>
    </row>
    <row s="1383" customFormat="1" customHeight="1" ht="22.5">
      <c r="A37" s="982"/>
      <c r="C37" s="1661"/>
      <c r="D37" s="1663"/>
      <c r="E37" s="1689" t="s">
        <v>92</v>
      </c>
      <c r="F37" s="1686" t="s">
        <v>716</v>
      </c>
      <c r="G37" s="1679" t="s">
        <v>685</v>
      </c>
      <c r="H37" s="541"/>
      <c r="I37" s="541"/>
      <c r="J37" s="270" t="s">
        <v>686</v>
      </c>
      <c r="K37" s="539"/>
      <c r="L37" s="1661"/>
      <c r="M37" s="1661"/>
      <c r="R37" s="1661"/>
      <c r="U37" s="540"/>
      <c r="AA37" s="1657"/>
      <c r="AB37" s="1657"/>
      <c r="AC37" s="1657"/>
      <c r="AD37" s="1657"/>
      <c r="AE37" s="1657"/>
    </row>
    <row customHeight="1" ht="11.25">
      <c r="D38" s="1663"/>
    </row>
    <row customHeight="1" ht="26.25">
      <c r="D39" s="1663"/>
      <c r="E39" s="1260" t="s">
        <v>717</v>
      </c>
      <c r="F39" s="2088" t="s">
        <v>718</v>
      </c>
      <c r="G39" s="2088"/>
      <c r="H39" s="2088"/>
      <c r="I39" s="2088"/>
      <c r="J39" s="2088"/>
    </row>
    <row s="1666" customFormat="1" customHeight="1" ht="37.5">
      <c r="A40" s="982"/>
      <c r="B40" s="1661"/>
      <c r="C40" s="1661"/>
      <c r="D40" s="339"/>
      <c r="F40" s="2088" t="s">
        <v>719</v>
      </c>
      <c r="G40" s="2088"/>
      <c r="H40" s="2088"/>
      <c r="I40" s="2088"/>
      <c r="J40" s="2088"/>
      <c r="K40" s="1155"/>
      <c r="L40" s="1661"/>
      <c r="M40" s="1661"/>
      <c r="N40" s="1155"/>
      <c r="O40" s="1155"/>
      <c r="P40" s="1155"/>
      <c r="Q40" s="1155"/>
      <c r="R40" s="1661"/>
      <c r="S40" s="1155"/>
      <c r="T40" s="1155"/>
      <c r="U40" s="540"/>
      <c r="V40" s="1155"/>
      <c r="W40" s="1155"/>
      <c r="X40" s="1155"/>
      <c r="Y40" s="1155"/>
      <c r="Z40" s="1155"/>
      <c r="AA40" s="1657"/>
      <c r="AB40" s="562"/>
      <c r="AC40" s="562"/>
      <c r="AD40" s="562"/>
      <c r="AE40" s="562"/>
    </row>
    <row s="1666" customFormat="1" customHeight="1" ht="11.25">
      <c r="A41" s="982"/>
      <c r="B41" s="1661"/>
      <c r="C41" s="1661"/>
      <c r="D41" s="339"/>
      <c r="K41" s="1155"/>
      <c r="L41" s="1661"/>
      <c r="M41" s="1661"/>
      <c r="N41" s="1155"/>
      <c r="O41" s="1155"/>
      <c r="P41" s="1155"/>
      <c r="Q41" s="1155"/>
      <c r="R41" s="1661"/>
      <c r="S41" s="1155"/>
      <c r="T41" s="1155"/>
      <c r="U41" s="540"/>
      <c r="V41" s="1155"/>
      <c r="W41" s="1155"/>
      <c r="X41" s="1155"/>
      <c r="Y41" s="1155"/>
      <c r="Z41" s="1155"/>
      <c r="AA41" s="1657"/>
      <c r="AB41" s="562"/>
      <c r="AC41" s="562"/>
      <c r="AD41" s="562"/>
      <c r="AE41" s="562"/>
    </row>
    <row s="1666" customFormat="1" customHeight="1" ht="11.25">
      <c r="A42" s="982"/>
      <c r="B42" s="1661"/>
      <c r="C42" s="1661"/>
      <c r="D42" s="339"/>
      <c r="K42" s="1155"/>
      <c r="L42" s="1661"/>
      <c r="M42" s="1661"/>
      <c r="N42" s="1155"/>
      <c r="O42" s="1155"/>
      <c r="P42" s="1155"/>
      <c r="Q42" s="1155"/>
      <c r="R42" s="1661"/>
      <c r="S42" s="1155"/>
      <c r="T42" s="1155"/>
      <c r="U42" s="540"/>
      <c r="V42" s="1155"/>
      <c r="W42" s="1155"/>
      <c r="X42" s="1155"/>
      <c r="Y42" s="1155"/>
      <c r="Z42" s="1155"/>
      <c r="AA42" s="1657"/>
      <c r="AB42" s="562"/>
      <c r="AC42" s="562"/>
      <c r="AD42" s="562"/>
      <c r="AE42" s="562"/>
    </row>
    <row s="1666" customFormat="1" customHeight="1" ht="11.25">
      <c r="A43" s="982"/>
      <c r="B43" s="1661"/>
      <c r="C43" s="1661"/>
      <c r="D43" s="339"/>
      <c r="H43" s="562"/>
      <c r="I43" s="562"/>
      <c r="K43" s="1155"/>
      <c r="L43" s="1661"/>
      <c r="M43" s="1661"/>
      <c r="N43" s="1155"/>
      <c r="O43" s="1155"/>
      <c r="P43" s="1155"/>
      <c r="Q43" s="1155"/>
      <c r="R43" s="1661"/>
      <c r="S43" s="1155"/>
      <c r="T43" s="1155"/>
      <c r="U43" s="540"/>
      <c r="V43" s="1155"/>
      <c r="W43" s="1155"/>
      <c r="X43" s="1155"/>
      <c r="Y43" s="1155"/>
      <c r="Z43" s="1155"/>
      <c r="AA43" s="1657"/>
      <c r="AB43" s="562"/>
      <c r="AC43" s="562"/>
      <c r="AD43" s="562"/>
      <c r="AE43" s="562"/>
    </row>
    <row s="1666" customFormat="1" customHeight="1" ht="11.25">
      <c r="A44" s="982"/>
      <c r="B44" s="1661"/>
      <c r="C44" s="1661"/>
      <c r="D44" s="339"/>
      <c r="K44" s="1155"/>
      <c r="L44" s="1661"/>
      <c r="M44" s="1661"/>
      <c r="N44" s="1155"/>
      <c r="O44" s="1155"/>
      <c r="P44" s="1155"/>
      <c r="Q44" s="1155"/>
      <c r="R44" s="1661"/>
      <c r="S44" s="1155"/>
      <c r="T44" s="1155"/>
      <c r="U44" s="540"/>
      <c r="V44" s="1155"/>
      <c r="W44" s="1155"/>
      <c r="X44" s="1155"/>
      <c r="Y44" s="1155"/>
      <c r="Z44" s="1155"/>
      <c r="AA44" s="1657"/>
      <c r="AB44" s="562"/>
      <c r="AC44" s="562"/>
      <c r="AD44" s="562"/>
      <c r="AE44" s="562"/>
    </row>
    <row s="1666" customFormat="1" customHeight="1" ht="11.25">
      <c r="A45" s="982"/>
      <c r="B45" s="1661"/>
      <c r="C45" s="1661"/>
      <c r="D45" s="339"/>
      <c r="K45" s="1155"/>
      <c r="L45" s="1661"/>
      <c r="M45" s="1661"/>
      <c r="N45" s="1155"/>
      <c r="O45" s="1155"/>
      <c r="P45" s="1155"/>
      <c r="Q45" s="1155"/>
      <c r="R45" s="1661"/>
      <c r="S45" s="1155"/>
      <c r="T45" s="1155"/>
      <c r="U45" s="540"/>
      <c r="V45" s="1155"/>
      <c r="W45" s="1155"/>
      <c r="X45" s="1155"/>
      <c r="Y45" s="1155"/>
      <c r="Z45" s="1155"/>
      <c r="AA45" s="1657"/>
      <c r="AB45" s="562"/>
      <c r="AC45" s="562"/>
      <c r="AD45" s="562"/>
      <c r="AE45" s="562"/>
    </row>
    <row s="1666" customFormat="1" customHeight="1" ht="11.25">
      <c r="A46" s="982"/>
      <c r="B46" s="1661"/>
      <c r="C46" s="1661"/>
      <c r="D46" s="339"/>
      <c r="K46" s="1155"/>
      <c r="L46" s="1661"/>
      <c r="M46" s="1661"/>
      <c r="N46" s="1155"/>
      <c r="O46" s="1155"/>
      <c r="P46" s="1155"/>
      <c r="Q46" s="1155"/>
      <c r="R46" s="1661"/>
      <c r="S46" s="1155"/>
      <c r="T46" s="1155"/>
      <c r="U46" s="540"/>
      <c r="V46" s="1155"/>
      <c r="W46" s="1155"/>
      <c r="X46" s="1155"/>
      <c r="Y46" s="1155"/>
      <c r="Z46" s="1155"/>
      <c r="AA46" s="1657"/>
      <c r="AB46" s="562"/>
      <c r="AC46" s="562"/>
      <c r="AD46" s="562"/>
      <c r="AE46" s="562"/>
    </row>
    <row s="1666" customFormat="1" customHeight="1" ht="11.25">
      <c r="A47" s="982"/>
      <c r="B47" s="1661"/>
      <c r="C47" s="1661"/>
      <c r="D47" s="339"/>
      <c r="K47" s="1155"/>
      <c r="L47" s="1661"/>
      <c r="M47" s="1661"/>
      <c r="N47" s="1155"/>
      <c r="O47" s="1155"/>
      <c r="P47" s="1155"/>
      <c r="Q47" s="1155"/>
      <c r="R47" s="1661"/>
      <c r="S47" s="1155"/>
      <c r="T47" s="1155"/>
      <c r="U47" s="540"/>
      <c r="V47" s="1155"/>
      <c r="W47" s="1155"/>
      <c r="X47" s="1155"/>
      <c r="Y47" s="1155"/>
      <c r="Z47" s="1155"/>
      <c r="AA47" s="1657"/>
      <c r="AB47" s="562"/>
      <c r="AC47" s="562"/>
      <c r="AD47" s="562"/>
      <c r="AE47" s="562"/>
    </row>
    <row s="1666" customFormat="1" customHeight="1" ht="11.25">
      <c r="A48" s="982"/>
      <c r="B48" s="1661"/>
      <c r="C48" s="1661"/>
      <c r="D48" s="339"/>
      <c r="K48" s="1155"/>
      <c r="L48" s="1661"/>
      <c r="M48" s="1661"/>
      <c r="N48" s="1155"/>
      <c r="O48" s="1155"/>
      <c r="P48" s="1155"/>
      <c r="Q48" s="1155"/>
      <c r="R48" s="1661"/>
      <c r="S48" s="1155"/>
      <c r="T48" s="1155"/>
      <c r="U48" s="540"/>
      <c r="V48" s="1155"/>
      <c r="W48" s="1155"/>
      <c r="X48" s="1155"/>
      <c r="Y48" s="1155"/>
      <c r="Z48" s="1155"/>
      <c r="AA48" s="1657"/>
      <c r="AB48" s="562"/>
      <c r="AC48" s="562"/>
      <c r="AD48" s="562"/>
      <c r="AE48" s="562"/>
    </row>
    <row s="1666" customFormat="1" customHeight="1" ht="11.25">
      <c r="A49" s="982"/>
      <c r="B49" s="1661"/>
      <c r="C49" s="1661"/>
      <c r="D49" s="339"/>
      <c r="K49" s="1155"/>
      <c r="L49" s="1661"/>
      <c r="M49" s="1661"/>
      <c r="N49" s="1155"/>
      <c r="O49" s="1155"/>
      <c r="P49" s="1155"/>
      <c r="Q49" s="1155"/>
      <c r="R49" s="1661"/>
      <c r="S49" s="1155"/>
      <c r="T49" s="1155"/>
      <c r="U49" s="540"/>
      <c r="V49" s="1155"/>
      <c r="W49" s="1155"/>
      <c r="X49" s="1155"/>
      <c r="Y49" s="1155"/>
      <c r="Z49" s="1155"/>
      <c r="AA49" s="1657"/>
      <c r="AB49" s="562"/>
      <c r="AC49" s="562"/>
      <c r="AD49" s="562"/>
      <c r="AE49" s="562"/>
    </row>
    <row s="1666" customFormat="1" customHeight="1" ht="11.25">
      <c r="A50" s="982"/>
      <c r="B50" s="1661"/>
      <c r="C50" s="1661"/>
      <c r="D50" s="339"/>
      <c r="K50" s="1155"/>
      <c r="L50" s="1661"/>
      <c r="M50" s="1661"/>
      <c r="N50" s="1155"/>
      <c r="O50" s="1155"/>
      <c r="P50" s="1155"/>
      <c r="Q50" s="1155"/>
      <c r="R50" s="1661"/>
      <c r="S50" s="1155"/>
      <c r="T50" s="1155"/>
      <c r="U50" s="540"/>
      <c r="V50" s="1155"/>
      <c r="W50" s="1155"/>
      <c r="X50" s="1155"/>
      <c r="Y50" s="1155"/>
      <c r="Z50" s="1155"/>
      <c r="AA50" s="1657"/>
      <c r="AB50" s="562"/>
      <c r="AC50" s="562"/>
      <c r="AD50" s="562"/>
      <c r="AE50" s="562"/>
    </row>
    <row s="1666" customFormat="1" customHeight="1" ht="11.25">
      <c r="A51" s="982"/>
      <c r="B51" s="1661"/>
      <c r="C51" s="1661"/>
      <c r="D51" s="339"/>
      <c r="K51" s="1155"/>
      <c r="L51" s="1661"/>
      <c r="M51" s="1661"/>
      <c r="N51" s="1155"/>
      <c r="O51" s="1155"/>
      <c r="P51" s="1155"/>
      <c r="Q51" s="1155"/>
      <c r="R51" s="1661"/>
      <c r="S51" s="1155"/>
      <c r="T51" s="1155"/>
      <c r="U51" s="540"/>
      <c r="V51" s="1155"/>
      <c r="W51" s="1155"/>
      <c r="X51" s="1155"/>
      <c r="Y51" s="1155"/>
      <c r="Z51" s="1155"/>
      <c r="AA51" s="1657"/>
      <c r="AB51" s="562"/>
      <c r="AC51" s="562"/>
      <c r="AD51" s="562"/>
      <c r="AE51" s="562"/>
    </row>
    <row s="1666" customFormat="1" customHeight="1" ht="11.25">
      <c r="A52" s="982"/>
      <c r="B52" s="1661"/>
      <c r="C52" s="1661"/>
      <c r="D52" s="339"/>
      <c r="K52" s="1155"/>
      <c r="L52" s="1661"/>
      <c r="M52" s="1661"/>
      <c r="N52" s="1155"/>
      <c r="O52" s="1155"/>
      <c r="P52" s="1155"/>
      <c r="Q52" s="1155"/>
      <c r="R52" s="1661"/>
      <c r="S52" s="1155"/>
      <c r="T52" s="1155"/>
      <c r="U52" s="540"/>
      <c r="V52" s="1155"/>
      <c r="W52" s="1155"/>
      <c r="X52" s="1155"/>
      <c r="Y52" s="1155"/>
      <c r="Z52" s="1155"/>
      <c r="AA52" s="1657"/>
      <c r="AB52" s="562"/>
      <c r="AC52" s="562"/>
      <c r="AD52" s="562"/>
      <c r="AE52" s="562"/>
    </row>
    <row s="1666" customFormat="1" customHeight="1" ht="11.25">
      <c r="A53" s="982"/>
      <c r="B53" s="1661"/>
      <c r="C53" s="1661"/>
      <c r="D53" s="339"/>
      <c r="K53" s="1155"/>
      <c r="L53" s="1661"/>
      <c r="M53" s="1661"/>
      <c r="N53" s="1155"/>
      <c r="O53" s="1155"/>
      <c r="P53" s="1155"/>
      <c r="Q53" s="1155"/>
      <c r="R53" s="1661"/>
      <c r="S53" s="1155"/>
      <c r="T53" s="1155"/>
      <c r="U53" s="540"/>
      <c r="V53" s="1155"/>
      <c r="W53" s="1155"/>
      <c r="X53" s="1155"/>
      <c r="Y53" s="1155"/>
      <c r="Z53" s="1155"/>
      <c r="AA53" s="1657"/>
      <c r="AB53" s="562"/>
      <c r="AC53" s="562"/>
      <c r="AD53" s="562"/>
      <c r="AE53" s="562"/>
    </row>
    <row s="1666" customFormat="1" customHeight="1" ht="11.25">
      <c r="A54" s="982"/>
      <c r="B54" s="1661"/>
      <c r="C54" s="1661"/>
      <c r="D54" s="339"/>
      <c r="K54" s="1155"/>
      <c r="L54" s="1661"/>
      <c r="M54" s="1661"/>
      <c r="N54" s="1155"/>
      <c r="O54" s="1155"/>
      <c r="P54" s="1155"/>
      <c r="Q54" s="1155"/>
      <c r="R54" s="1661"/>
      <c r="S54" s="1155"/>
      <c r="T54" s="1155"/>
      <c r="U54" s="540"/>
      <c r="V54" s="1155"/>
      <c r="W54" s="1155"/>
      <c r="X54" s="1155"/>
      <c r="Y54" s="1155"/>
      <c r="Z54" s="1155"/>
      <c r="AA54" s="1657"/>
      <c r="AB54" s="562"/>
      <c r="AC54" s="562"/>
      <c r="AD54" s="562"/>
      <c r="AE54" s="562"/>
    </row>
    <row s="1666" customFormat="1" customHeight="1" ht="11.25">
      <c r="A55" s="982"/>
      <c r="B55" s="1661"/>
      <c r="C55" s="1661"/>
      <c r="D55" s="339"/>
      <c r="K55" s="1155"/>
      <c r="L55" s="1661"/>
      <c r="M55" s="1661"/>
      <c r="N55" s="1155"/>
      <c r="O55" s="1155"/>
      <c r="P55" s="1155"/>
      <c r="Q55" s="1155"/>
      <c r="R55" s="1661"/>
      <c r="S55" s="1155"/>
      <c r="T55" s="1155"/>
      <c r="U55" s="540"/>
      <c r="V55" s="1155"/>
      <c r="W55" s="1155"/>
      <c r="X55" s="1155"/>
      <c r="Y55" s="1155"/>
      <c r="Z55" s="1155"/>
      <c r="AA55" s="1657"/>
      <c r="AB55" s="562"/>
      <c r="AC55" s="562"/>
      <c r="AD55" s="562"/>
      <c r="AE55" s="562"/>
    </row>
    <row s="1666" customFormat="1" customHeight="1" ht="11.25">
      <c r="A56" s="982"/>
      <c r="B56" s="1661"/>
      <c r="C56" s="1661"/>
      <c r="D56" s="339"/>
      <c r="K56" s="1155"/>
      <c r="L56" s="1661"/>
      <c r="M56" s="1661"/>
      <c r="N56" s="1155"/>
      <c r="O56" s="1155"/>
      <c r="P56" s="1155"/>
      <c r="Q56" s="1155"/>
      <c r="R56" s="1661"/>
      <c r="S56" s="1155"/>
      <c r="T56" s="1155"/>
      <c r="U56" s="540"/>
      <c r="V56" s="1155"/>
      <c r="W56" s="1155"/>
      <c r="X56" s="1155"/>
      <c r="Y56" s="1155"/>
      <c r="Z56" s="1155"/>
      <c r="AA56" s="1657"/>
      <c r="AB56" s="562"/>
      <c r="AC56" s="562"/>
      <c r="AD56" s="562"/>
      <c r="AE56" s="562"/>
    </row>
    <row s="1666" customFormat="1" customHeight="1" ht="11.25">
      <c r="A57" s="982"/>
      <c r="B57" s="1661"/>
      <c r="C57" s="1661"/>
      <c r="D57" s="339"/>
      <c r="K57" s="1155"/>
      <c r="L57" s="1661"/>
      <c r="M57" s="1661"/>
      <c r="N57" s="1155"/>
      <c r="O57" s="1155"/>
      <c r="P57" s="1155"/>
      <c r="Q57" s="1155"/>
      <c r="R57" s="1661"/>
      <c r="S57" s="1155"/>
      <c r="T57" s="1155"/>
      <c r="U57" s="540"/>
      <c r="V57" s="1155"/>
      <c r="W57" s="1155"/>
      <c r="X57" s="1155"/>
      <c r="Y57" s="1155"/>
      <c r="Z57" s="1155"/>
      <c r="AA57" s="1657"/>
      <c r="AB57" s="562"/>
      <c r="AC57" s="562"/>
      <c r="AD57" s="562"/>
      <c r="AE57" s="562"/>
    </row>
    <row s="1666" customFormat="1" customHeight="1" ht="11.25">
      <c r="A58" s="982"/>
      <c r="B58" s="1661"/>
      <c r="C58" s="1661"/>
      <c r="D58" s="339"/>
      <c r="K58" s="1155"/>
      <c r="L58" s="1661"/>
      <c r="M58" s="1661"/>
      <c r="N58" s="1155"/>
      <c r="O58" s="1155"/>
      <c r="P58" s="1155"/>
      <c r="Q58" s="1155"/>
      <c r="R58" s="1661"/>
      <c r="S58" s="1155"/>
      <c r="T58" s="1155"/>
      <c r="U58" s="540"/>
      <c r="V58" s="1155"/>
      <c r="W58" s="1155"/>
      <c r="X58" s="1155"/>
      <c r="Y58" s="1155"/>
      <c r="Z58" s="1155"/>
      <c r="AA58" s="1657"/>
      <c r="AB58" s="562"/>
      <c r="AC58" s="562"/>
      <c r="AD58" s="562"/>
      <c r="AE58" s="562"/>
    </row>
    <row s="1666" customFormat="1" customHeight="1" ht="11.25">
      <c r="A59" s="982"/>
      <c r="B59" s="1661"/>
      <c r="C59" s="1661"/>
      <c r="D59" s="339"/>
      <c r="K59" s="1155"/>
      <c r="L59" s="1661"/>
      <c r="M59" s="1661"/>
      <c r="N59" s="1155"/>
      <c r="O59" s="1155"/>
      <c r="P59" s="1155"/>
      <c r="Q59" s="1155"/>
      <c r="R59" s="1661"/>
      <c r="S59" s="1155"/>
      <c r="T59" s="1155"/>
      <c r="U59" s="540"/>
      <c r="V59" s="1155"/>
      <c r="W59" s="1155"/>
      <c r="X59" s="1155"/>
      <c r="Y59" s="1155"/>
      <c r="Z59" s="1155"/>
      <c r="AA59" s="1657"/>
      <c r="AB59" s="562"/>
      <c r="AC59" s="562"/>
      <c r="AD59" s="562"/>
      <c r="AE59" s="562"/>
    </row>
    <row s="1666" customFormat="1" customHeight="1" ht="11.25">
      <c r="A60" s="982"/>
      <c r="B60" s="1661"/>
      <c r="C60" s="1661"/>
      <c r="D60" s="339"/>
      <c r="K60" s="1155"/>
      <c r="L60" s="1661"/>
      <c r="M60" s="1661"/>
      <c r="N60" s="1155"/>
      <c r="O60" s="1155"/>
      <c r="P60" s="1155"/>
      <c r="Q60" s="1155"/>
      <c r="R60" s="1661"/>
      <c r="S60" s="1155"/>
      <c r="T60" s="1155"/>
      <c r="U60" s="540"/>
      <c r="V60" s="1155"/>
      <c r="W60" s="1155"/>
      <c r="X60" s="1155"/>
      <c r="Y60" s="1155"/>
      <c r="Z60" s="1155"/>
      <c r="AA60" s="1657"/>
      <c r="AB60" s="562"/>
      <c r="AC60" s="562"/>
      <c r="AD60" s="562"/>
      <c r="AE60" s="562"/>
    </row>
    <row s="1666" customFormat="1" customHeight="1" ht="11.25">
      <c r="A61" s="982"/>
      <c r="B61" s="1661"/>
      <c r="C61" s="1661"/>
      <c r="D61" s="339"/>
      <c r="K61" s="1155"/>
      <c r="L61" s="1661"/>
      <c r="M61" s="1661"/>
      <c r="N61" s="1155"/>
      <c r="O61" s="1155"/>
      <c r="P61" s="1155"/>
      <c r="Q61" s="1155"/>
      <c r="R61" s="1661"/>
      <c r="S61" s="1155"/>
      <c r="T61" s="1155"/>
      <c r="U61" s="540"/>
      <c r="V61" s="1155"/>
      <c r="W61" s="1155"/>
      <c r="X61" s="1155"/>
      <c r="Y61" s="1155"/>
      <c r="Z61" s="1155"/>
      <c r="AA61" s="1657"/>
      <c r="AB61" s="562"/>
      <c r="AC61" s="562"/>
      <c r="AD61" s="562"/>
      <c r="AE61" s="562"/>
    </row>
    <row s="1666" customFormat="1" customHeight="1" ht="11.25">
      <c r="A62" s="982"/>
      <c r="B62" s="1661"/>
      <c r="C62" s="1661"/>
      <c r="D62" s="339"/>
      <c r="K62" s="1155"/>
      <c r="L62" s="1661"/>
      <c r="M62" s="1661"/>
      <c r="N62" s="1155"/>
      <c r="O62" s="1155"/>
      <c r="P62" s="1155"/>
      <c r="Q62" s="1155"/>
      <c r="R62" s="1661"/>
      <c r="S62" s="1155"/>
      <c r="T62" s="1155"/>
      <c r="U62" s="540"/>
      <c r="V62" s="1155"/>
      <c r="W62" s="1155"/>
      <c r="X62" s="1155"/>
      <c r="Y62" s="1155"/>
      <c r="Z62" s="1155"/>
      <c r="AA62" s="1657"/>
      <c r="AB62" s="562"/>
      <c r="AC62" s="562"/>
      <c r="AD62" s="562"/>
      <c r="AE62" s="562"/>
    </row>
    <row s="1666" customFormat="1" customHeight="1" ht="11.25">
      <c r="A63" s="982"/>
      <c r="B63" s="1661"/>
      <c r="C63" s="1661"/>
      <c r="D63" s="339"/>
      <c r="K63" s="1155"/>
      <c r="L63" s="1661"/>
      <c r="M63" s="1661"/>
      <c r="N63" s="1155"/>
      <c r="O63" s="1155"/>
      <c r="P63" s="1155"/>
      <c r="Q63" s="1155"/>
      <c r="R63" s="1661"/>
      <c r="S63" s="1155"/>
      <c r="T63" s="1155"/>
      <c r="U63" s="540"/>
      <c r="V63" s="1155"/>
      <c r="W63" s="1155"/>
      <c r="X63" s="1155"/>
      <c r="Y63" s="1155"/>
      <c r="Z63" s="1155"/>
      <c r="AA63" s="1657"/>
      <c r="AB63" s="562"/>
      <c r="AC63" s="562"/>
      <c r="AD63" s="562"/>
      <c r="AE63" s="562"/>
    </row>
    <row s="1666" customFormat="1" customHeight="1" ht="11.25">
      <c r="A64" s="982"/>
      <c r="B64" s="1661"/>
      <c r="C64" s="1661"/>
      <c r="D64" s="339"/>
      <c r="K64" s="1155"/>
      <c r="L64" s="1661"/>
      <c r="M64" s="1661"/>
      <c r="N64" s="1155"/>
      <c r="O64" s="1155"/>
      <c r="P64" s="1155"/>
      <c r="Q64" s="1155"/>
      <c r="R64" s="1661"/>
      <c r="S64" s="1155"/>
      <c r="T64" s="1155"/>
      <c r="U64" s="540"/>
      <c r="V64" s="1155"/>
      <c r="W64" s="1155"/>
      <c r="X64" s="1155"/>
      <c r="Y64" s="1155"/>
      <c r="Z64" s="1155"/>
      <c r="AA64" s="1657"/>
      <c r="AB64" s="562"/>
      <c r="AC64" s="562"/>
      <c r="AD64" s="562"/>
      <c r="AE64" s="562"/>
    </row>
    <row s="1666" customFormat="1" customHeight="1" ht="11.25">
      <c r="A65" s="982"/>
      <c r="B65" s="1661"/>
      <c r="C65" s="1661"/>
      <c r="D65" s="339"/>
      <c r="K65" s="1155"/>
      <c r="L65" s="1661"/>
      <c r="M65" s="1661"/>
      <c r="N65" s="1155"/>
      <c r="O65" s="1155"/>
      <c r="P65" s="1155"/>
      <c r="Q65" s="1155"/>
      <c r="R65" s="1661"/>
      <c r="S65" s="1155"/>
      <c r="T65" s="1155"/>
      <c r="U65" s="540"/>
      <c r="V65" s="1155"/>
      <c r="W65" s="1155"/>
      <c r="X65" s="1155"/>
      <c r="Y65" s="1155"/>
      <c r="Z65" s="1155"/>
      <c r="AA65" s="1657"/>
      <c r="AB65" s="562"/>
      <c r="AC65" s="562"/>
      <c r="AD65" s="562"/>
      <c r="AE65" s="562"/>
    </row>
    <row s="1666" customFormat="1" customHeight="1" ht="11.25">
      <c r="A66" s="982"/>
      <c r="B66" s="1661"/>
      <c r="C66" s="1661"/>
      <c r="D66" s="339"/>
      <c r="K66" s="1155"/>
      <c r="L66" s="1661"/>
      <c r="M66" s="1661"/>
      <c r="N66" s="1155"/>
      <c r="O66" s="1155"/>
      <c r="P66" s="1155"/>
      <c r="Q66" s="1155"/>
      <c r="R66" s="1661"/>
      <c r="S66" s="1155"/>
      <c r="T66" s="1155"/>
      <c r="U66" s="540"/>
      <c r="V66" s="1155"/>
      <c r="W66" s="1155"/>
      <c r="X66" s="1155"/>
      <c r="Y66" s="1155"/>
      <c r="Z66" s="1155"/>
      <c r="AA66" s="1657"/>
      <c r="AB66" s="562"/>
      <c r="AC66" s="562"/>
      <c r="AD66" s="562"/>
      <c r="AE66" s="562"/>
    </row>
    <row s="1666" customFormat="1" customHeight="1" ht="11.25">
      <c r="A67" s="982"/>
      <c r="B67" s="1661"/>
      <c r="C67" s="1661"/>
      <c r="D67" s="339"/>
      <c r="K67" s="1155"/>
      <c r="L67" s="1661"/>
      <c r="M67" s="1661"/>
      <c r="N67" s="1155"/>
      <c r="O67" s="1155"/>
      <c r="P67" s="1155"/>
      <c r="Q67" s="1155"/>
      <c r="R67" s="1661"/>
      <c r="S67" s="1155"/>
      <c r="T67" s="1155"/>
      <c r="U67" s="540"/>
      <c r="V67" s="1155"/>
      <c r="W67" s="1155"/>
      <c r="X67" s="1155"/>
      <c r="Y67" s="1155"/>
      <c r="Z67" s="1155"/>
      <c r="AA67" s="1657"/>
      <c r="AB67" s="562"/>
      <c r="AC67" s="562"/>
      <c r="AD67" s="562"/>
      <c r="AE67" s="562"/>
    </row>
    <row s="1666" customFormat="1" customHeight="1" ht="11.25">
      <c r="A68" s="982"/>
      <c r="B68" s="1661"/>
      <c r="C68" s="1661"/>
      <c r="D68" s="339"/>
      <c r="K68" s="1155"/>
      <c r="L68" s="1661"/>
      <c r="M68" s="1661"/>
      <c r="N68" s="1155"/>
      <c r="O68" s="1155"/>
      <c r="P68" s="1155"/>
      <c r="Q68" s="1155"/>
      <c r="R68" s="1661"/>
      <c r="S68" s="1155"/>
      <c r="T68" s="1155"/>
      <c r="U68" s="540"/>
      <c r="V68" s="1155"/>
      <c r="W68" s="1155"/>
      <c r="X68" s="1155"/>
      <c r="Y68" s="1155"/>
      <c r="Z68" s="1155"/>
      <c r="AA68" s="1657"/>
      <c r="AB68" s="562"/>
      <c r="AC68" s="562"/>
      <c r="AD68" s="562"/>
      <c r="AE68" s="562"/>
    </row>
    <row s="1666" customFormat="1" customHeight="1" ht="11.25">
      <c r="A69" s="982"/>
      <c r="B69" s="1661"/>
      <c r="C69" s="1661"/>
      <c r="D69" s="339"/>
      <c r="K69" s="1155"/>
      <c r="L69" s="1661"/>
      <c r="M69" s="1661"/>
      <c r="N69" s="1155"/>
      <c r="O69" s="1155"/>
      <c r="P69" s="1155"/>
      <c r="Q69" s="1155"/>
      <c r="R69" s="1661"/>
      <c r="S69" s="1155"/>
      <c r="T69" s="1155"/>
      <c r="U69" s="540"/>
      <c r="V69" s="1155"/>
      <c r="W69" s="1155"/>
      <c r="X69" s="1155"/>
      <c r="Y69" s="1155"/>
      <c r="Z69" s="1155"/>
      <c r="AA69" s="1657"/>
      <c r="AB69" s="562"/>
      <c r="AC69" s="562"/>
      <c r="AD69" s="562"/>
      <c r="AE69" s="562"/>
    </row>
    <row s="1666" customFormat="1" customHeight="1" ht="11.25">
      <c r="A70" s="982"/>
      <c r="B70" s="1661"/>
      <c r="C70" s="1661"/>
      <c r="D70" s="339"/>
      <c r="K70" s="1155"/>
      <c r="L70" s="1661"/>
      <c r="M70" s="1661"/>
      <c r="N70" s="1155"/>
      <c r="O70" s="1155"/>
      <c r="P70" s="1155"/>
      <c r="Q70" s="1155"/>
      <c r="R70" s="1661"/>
      <c r="S70" s="1155"/>
      <c r="T70" s="1155"/>
      <c r="U70" s="540"/>
      <c r="V70" s="1155"/>
      <c r="W70" s="1155"/>
      <c r="X70" s="1155"/>
      <c r="Y70" s="1155"/>
      <c r="Z70" s="1155"/>
      <c r="AA70" s="1657"/>
      <c r="AB70" s="562"/>
      <c r="AC70" s="562"/>
      <c r="AD70" s="562"/>
      <c r="AE70" s="562"/>
    </row>
    <row s="1666" customFormat="1" customHeight="1" ht="11.25">
      <c r="A71" s="982"/>
      <c r="B71" s="1661"/>
      <c r="C71" s="1661"/>
      <c r="D71" s="339"/>
      <c r="K71" s="1155"/>
      <c r="L71" s="1661"/>
      <c r="M71" s="1661"/>
      <c r="N71" s="1155"/>
      <c r="O71" s="1155"/>
      <c r="P71" s="1155"/>
      <c r="Q71" s="1155"/>
      <c r="R71" s="1661"/>
      <c r="S71" s="1155"/>
      <c r="T71" s="1155"/>
      <c r="U71" s="540"/>
      <c r="V71" s="1155"/>
      <c r="W71" s="1155"/>
      <c r="X71" s="1155"/>
      <c r="Y71" s="1155"/>
      <c r="Z71" s="1155"/>
      <c r="AA71" s="1657"/>
      <c r="AB71" s="562"/>
      <c r="AC71" s="562"/>
      <c r="AD71" s="562"/>
      <c r="AE71" s="562"/>
    </row>
    <row s="1666" customFormat="1" customHeight="1" ht="11.25">
      <c r="A72" s="982"/>
      <c r="B72" s="1661"/>
      <c r="C72" s="1661"/>
      <c r="D72" s="339"/>
      <c r="K72" s="1155"/>
      <c r="L72" s="1661"/>
      <c r="M72" s="1661"/>
      <c r="N72" s="1155"/>
      <c r="O72" s="1155"/>
      <c r="P72" s="1155"/>
      <c r="Q72" s="1155"/>
      <c r="R72" s="1661"/>
      <c r="S72" s="1155"/>
      <c r="T72" s="1155"/>
      <c r="U72" s="540"/>
      <c r="V72" s="1155"/>
      <c r="W72" s="1155"/>
      <c r="X72" s="1155"/>
      <c r="Y72" s="1155"/>
      <c r="Z72" s="1155"/>
      <c r="AA72" s="1657"/>
      <c r="AB72" s="562"/>
      <c r="AC72" s="562"/>
      <c r="AD72" s="562"/>
      <c r="AE72" s="562"/>
    </row>
    <row s="1666" customFormat="1" customHeight="1" ht="11.25">
      <c r="A73" s="982"/>
      <c r="B73" s="1661"/>
      <c r="C73" s="1661"/>
      <c r="D73" s="339"/>
      <c r="K73" s="1155"/>
      <c r="L73" s="1661"/>
      <c r="M73" s="1661"/>
      <c r="N73" s="1155"/>
      <c r="O73" s="1155"/>
      <c r="P73" s="1155"/>
      <c r="Q73" s="1155"/>
      <c r="R73" s="1661"/>
      <c r="S73" s="1155"/>
      <c r="T73" s="1155"/>
      <c r="U73" s="540"/>
      <c r="V73" s="1155"/>
      <c r="W73" s="1155"/>
      <c r="X73" s="1155"/>
      <c r="Y73" s="1155"/>
      <c r="Z73" s="1155"/>
      <c r="AA73" s="1657"/>
      <c r="AB73" s="562"/>
      <c r="AC73" s="562"/>
      <c r="AD73" s="562"/>
      <c r="AE73" s="562"/>
    </row>
    <row s="1666" customFormat="1" customHeight="1" ht="11.25">
      <c r="A74" s="982"/>
      <c r="B74" s="1661"/>
      <c r="C74" s="1661"/>
      <c r="D74" s="339"/>
      <c r="K74" s="1155"/>
      <c r="L74" s="1661"/>
      <c r="M74" s="1661"/>
      <c r="N74" s="1155"/>
      <c r="O74" s="1155"/>
      <c r="P74" s="1155"/>
      <c r="Q74" s="1155"/>
      <c r="R74" s="1661"/>
      <c r="S74" s="1155"/>
      <c r="T74" s="1155"/>
      <c r="U74" s="540"/>
      <c r="V74" s="1155"/>
      <c r="W74" s="1155"/>
      <c r="X74" s="1155"/>
      <c r="Y74" s="1155"/>
      <c r="Z74" s="1155"/>
      <c r="AA74" s="1657"/>
      <c r="AB74" s="562"/>
      <c r="AC74" s="562"/>
      <c r="AD74" s="562"/>
      <c r="AE74" s="562"/>
    </row>
    <row s="1666" customFormat="1" customHeight="1" ht="11.25">
      <c r="A75" s="982"/>
      <c r="B75" s="1661"/>
      <c r="C75" s="1661"/>
      <c r="D75" s="339"/>
      <c r="K75" s="1155"/>
      <c r="L75" s="1661"/>
      <c r="M75" s="1661"/>
      <c r="N75" s="1155"/>
      <c r="O75" s="1155"/>
      <c r="P75" s="1155"/>
      <c r="Q75" s="1155"/>
      <c r="R75" s="1661"/>
      <c r="S75" s="1155"/>
      <c r="T75" s="1155"/>
      <c r="U75" s="540"/>
      <c r="V75" s="1155"/>
      <c r="W75" s="1155"/>
      <c r="X75" s="1155"/>
      <c r="Y75" s="1155"/>
      <c r="Z75" s="1155"/>
      <c r="AA75" s="1657"/>
      <c r="AB75" s="562"/>
      <c r="AC75" s="562"/>
      <c r="AD75" s="562"/>
      <c r="AE75" s="562"/>
    </row>
    <row s="1666" customFormat="1" customHeight="1" ht="11.25">
      <c r="A76" s="982"/>
      <c r="B76" s="1661"/>
      <c r="C76" s="1661"/>
      <c r="D76" s="339"/>
      <c r="K76" s="1155"/>
      <c r="L76" s="1661"/>
      <c r="M76" s="1661"/>
      <c r="N76" s="1155"/>
      <c r="O76" s="1155"/>
      <c r="P76" s="1155"/>
      <c r="Q76" s="1155"/>
      <c r="R76" s="1661"/>
      <c r="S76" s="1155"/>
      <c r="T76" s="1155"/>
      <c r="U76" s="540"/>
      <c r="V76" s="1155"/>
      <c r="W76" s="1155"/>
      <c r="X76" s="1155"/>
      <c r="Y76" s="1155"/>
      <c r="Z76" s="1155"/>
      <c r="AA76" s="1657"/>
      <c r="AB76" s="562"/>
      <c r="AC76" s="562"/>
      <c r="AD76" s="562"/>
      <c r="AE76" s="562"/>
    </row>
    <row s="1666" customFormat="1" customHeight="1" ht="11.25">
      <c r="A77" s="982"/>
      <c r="B77" s="1661"/>
      <c r="C77" s="1661"/>
      <c r="D77" s="339"/>
      <c r="K77" s="1155"/>
      <c r="L77" s="1661"/>
      <c r="M77" s="1661"/>
      <c r="N77" s="1155"/>
      <c r="O77" s="1155"/>
      <c r="P77" s="1155"/>
      <c r="Q77" s="1155"/>
      <c r="R77" s="1661"/>
      <c r="S77" s="1155"/>
      <c r="T77" s="1155"/>
      <c r="U77" s="540"/>
      <c r="V77" s="1155"/>
      <c r="W77" s="1155"/>
      <c r="X77" s="1155"/>
      <c r="Y77" s="1155"/>
      <c r="Z77" s="1155"/>
      <c r="AA77" s="1657"/>
      <c r="AB77" s="562"/>
      <c r="AC77" s="562"/>
      <c r="AD77" s="562"/>
      <c r="AE77" s="562"/>
    </row>
    <row s="1666" customFormat="1" customHeight="1" ht="11.25">
      <c r="A78" s="982"/>
      <c r="B78" s="1661"/>
      <c r="C78" s="1661"/>
      <c r="D78" s="339"/>
      <c r="K78" s="1155"/>
      <c r="L78" s="1661"/>
      <c r="M78" s="1661"/>
      <c r="N78" s="1155"/>
      <c r="O78" s="1155"/>
      <c r="P78" s="1155"/>
      <c r="Q78" s="1155"/>
      <c r="R78" s="1661"/>
      <c r="S78" s="1155"/>
      <c r="T78" s="1155"/>
      <c r="U78" s="540"/>
      <c r="V78" s="1155"/>
      <c r="W78" s="1155"/>
      <c r="X78" s="1155"/>
      <c r="Y78" s="1155"/>
      <c r="Z78" s="1155"/>
      <c r="AA78" s="1657"/>
      <c r="AB78" s="562"/>
      <c r="AC78" s="562"/>
      <c r="AD78" s="562"/>
      <c r="AE78" s="562"/>
    </row>
    <row s="1666" customFormat="1" customHeight="1" ht="11.25">
      <c r="A79" s="982"/>
      <c r="B79" s="1661"/>
      <c r="C79" s="1661"/>
      <c r="D79" s="339"/>
      <c r="K79" s="1155"/>
      <c r="L79" s="1661"/>
      <c r="M79" s="1661"/>
      <c r="N79" s="1155"/>
      <c r="O79" s="1155"/>
      <c r="P79" s="1155"/>
      <c r="Q79" s="1155"/>
      <c r="R79" s="1661"/>
      <c r="S79" s="1155"/>
      <c r="T79" s="1155"/>
      <c r="U79" s="540"/>
      <c r="V79" s="1155"/>
      <c r="W79" s="1155"/>
      <c r="X79" s="1155"/>
      <c r="Y79" s="1155"/>
      <c r="Z79" s="1155"/>
      <c r="AA79" s="1657"/>
      <c r="AB79" s="562"/>
      <c r="AC79" s="562"/>
      <c r="AD79" s="562"/>
      <c r="AE79" s="562"/>
    </row>
    <row s="1666" customFormat="1" customHeight="1" ht="11.25">
      <c r="A80" s="982"/>
      <c r="B80" s="1661"/>
      <c r="C80" s="1661"/>
      <c r="D80" s="339"/>
      <c r="K80" s="1155"/>
      <c r="L80" s="1661"/>
      <c r="M80" s="1661"/>
      <c r="N80" s="1155"/>
      <c r="O80" s="1155"/>
      <c r="P80" s="1155"/>
      <c r="Q80" s="1155"/>
      <c r="R80" s="1661"/>
      <c r="S80" s="1155"/>
      <c r="T80" s="1155"/>
      <c r="U80" s="540"/>
      <c r="V80" s="1155"/>
      <c r="W80" s="1155"/>
      <c r="X80" s="1155"/>
      <c r="Y80" s="1155"/>
      <c r="Z80" s="1155"/>
      <c r="AA80" s="1657"/>
      <c r="AB80" s="562"/>
      <c r="AC80" s="562"/>
      <c r="AD80" s="562"/>
      <c r="AE80" s="562"/>
    </row>
    <row s="1666" customFormat="1" customHeight="1" ht="11.25">
      <c r="A81" s="982"/>
      <c r="B81" s="1661"/>
      <c r="C81" s="1661"/>
      <c r="D81" s="339"/>
      <c r="K81" s="1155"/>
      <c r="L81" s="1661"/>
      <c r="M81" s="1661"/>
      <c r="N81" s="1155"/>
      <c r="O81" s="1155"/>
      <c r="P81" s="1155"/>
      <c r="Q81" s="1155"/>
      <c r="R81" s="1661"/>
      <c r="S81" s="1155"/>
      <c r="T81" s="1155"/>
      <c r="U81" s="540"/>
      <c r="V81" s="1155"/>
      <c r="W81" s="1155"/>
      <c r="X81" s="1155"/>
      <c r="Y81" s="1155"/>
      <c r="Z81" s="1155"/>
      <c r="AA81" s="1657"/>
      <c r="AB81" s="562"/>
      <c r="AC81" s="562"/>
      <c r="AD81" s="562"/>
      <c r="AE81" s="562"/>
    </row>
    <row s="1666" customFormat="1" customHeight="1" ht="11.25">
      <c r="A82" s="982"/>
      <c r="B82" s="1661"/>
      <c r="C82" s="1661"/>
      <c r="D82" s="339"/>
      <c r="K82" s="1155"/>
      <c r="L82" s="1661"/>
      <c r="M82" s="1661"/>
      <c r="N82" s="1155"/>
      <c r="O82" s="1155"/>
      <c r="P82" s="1155"/>
      <c r="Q82" s="1155"/>
      <c r="R82" s="1661"/>
      <c r="S82" s="1155"/>
      <c r="T82" s="1155"/>
      <c r="U82" s="540"/>
      <c r="V82" s="1155"/>
      <c r="W82" s="1155"/>
      <c r="X82" s="1155"/>
      <c r="Y82" s="1155"/>
      <c r="Z82" s="1155"/>
      <c r="AA82" s="1657"/>
      <c r="AB82" s="562"/>
      <c r="AC82" s="562"/>
      <c r="AD82" s="562"/>
      <c r="AE82" s="562"/>
    </row>
    <row s="1666" customFormat="1" customHeight="1" ht="11.25">
      <c r="A83" s="982"/>
      <c r="B83" s="1661"/>
      <c r="C83" s="1661"/>
      <c r="D83" s="339"/>
      <c r="K83" s="1155"/>
      <c r="L83" s="1661"/>
      <c r="M83" s="1661"/>
      <c r="N83" s="1155"/>
      <c r="O83" s="1155"/>
      <c r="P83" s="1155"/>
      <c r="Q83" s="1155"/>
      <c r="R83" s="1661"/>
      <c r="S83" s="1155"/>
      <c r="T83" s="1155"/>
      <c r="U83" s="540"/>
      <c r="V83" s="1155"/>
      <c r="W83" s="1155"/>
      <c r="X83" s="1155"/>
      <c r="Y83" s="1155"/>
      <c r="Z83" s="1155"/>
      <c r="AA83" s="1657"/>
      <c r="AB83" s="562"/>
      <c r="AC83" s="562"/>
      <c r="AD83" s="562"/>
      <c r="AE83" s="562"/>
    </row>
    <row s="1666" customFormat="1" customHeight="1" ht="11.25">
      <c r="A84" s="982"/>
      <c r="B84" s="1661"/>
      <c r="C84" s="1661"/>
      <c r="D84" s="339"/>
      <c r="K84" s="1155"/>
      <c r="L84" s="1661"/>
      <c r="M84" s="1661"/>
      <c r="N84" s="1155"/>
      <c r="O84" s="1155"/>
      <c r="P84" s="1155"/>
      <c r="Q84" s="1155"/>
      <c r="R84" s="1661"/>
      <c r="S84" s="1155"/>
      <c r="T84" s="1155"/>
      <c r="U84" s="540"/>
      <c r="V84" s="1155"/>
      <c r="W84" s="1155"/>
      <c r="X84" s="1155"/>
      <c r="Y84" s="1155"/>
      <c r="Z84" s="1155"/>
      <c r="AA84" s="1657"/>
      <c r="AB84" s="562"/>
      <c r="AC84" s="562"/>
      <c r="AD84" s="562"/>
      <c r="AE84" s="562"/>
    </row>
    <row s="1666" customFormat="1" customHeight="1" ht="11.25">
      <c r="A85" s="982"/>
      <c r="B85" s="1661"/>
      <c r="C85" s="1661"/>
      <c r="D85" s="339"/>
      <c r="K85" s="1155"/>
      <c r="L85" s="1661"/>
      <c r="M85" s="1661"/>
      <c r="N85" s="1155"/>
      <c r="O85" s="1155"/>
      <c r="P85" s="1155"/>
      <c r="Q85" s="1155"/>
      <c r="R85" s="1661"/>
      <c r="S85" s="1155"/>
      <c r="T85" s="1155"/>
      <c r="U85" s="540"/>
      <c r="V85" s="1155"/>
      <c r="W85" s="1155"/>
      <c r="X85" s="1155"/>
      <c r="Y85" s="1155"/>
      <c r="Z85" s="1155"/>
      <c r="AA85" s="1657"/>
      <c r="AB85" s="562"/>
      <c r="AC85" s="562"/>
      <c r="AD85" s="562"/>
      <c r="AE85" s="562"/>
    </row>
    <row s="1666" customFormat="1" customHeight="1" ht="11.25">
      <c r="A86" s="982"/>
      <c r="B86" s="1661"/>
      <c r="C86" s="1661"/>
      <c r="D86" s="339"/>
      <c r="K86" s="1155"/>
      <c r="L86" s="1661"/>
      <c r="M86" s="1661"/>
      <c r="N86" s="1155"/>
      <c r="O86" s="1155"/>
      <c r="P86" s="1155"/>
      <c r="Q86" s="1155"/>
      <c r="R86" s="1661"/>
      <c r="S86" s="1155"/>
      <c r="T86" s="1155"/>
      <c r="U86" s="540"/>
      <c r="V86" s="1155"/>
      <c r="W86" s="1155"/>
      <c r="X86" s="1155"/>
      <c r="Y86" s="1155"/>
      <c r="Z86" s="1155"/>
      <c r="AA86" s="1657"/>
      <c r="AB86" s="562"/>
      <c r="AC86" s="562"/>
      <c r="AD86" s="562"/>
      <c r="AE86" s="562"/>
    </row>
    <row s="1666" customFormat="1" customHeight="1" ht="11.25">
      <c r="A87" s="982"/>
      <c r="B87" s="1661"/>
      <c r="C87" s="1661"/>
      <c r="D87" s="339"/>
      <c r="K87" s="1155"/>
      <c r="L87" s="1661"/>
      <c r="M87" s="1661"/>
      <c r="N87" s="1155"/>
      <c r="O87" s="1155"/>
      <c r="P87" s="1155"/>
      <c r="Q87" s="1155"/>
      <c r="R87" s="1661"/>
      <c r="S87" s="1155"/>
      <c r="T87" s="1155"/>
      <c r="U87" s="540"/>
      <c r="V87" s="1155"/>
      <c r="W87" s="1155"/>
      <c r="X87" s="1155"/>
      <c r="Y87" s="1155"/>
      <c r="Z87" s="1155"/>
      <c r="AA87" s="1657"/>
      <c r="AB87" s="562"/>
      <c r="AC87" s="562"/>
      <c r="AD87" s="562"/>
      <c r="AE87" s="562"/>
    </row>
    <row s="1666" customFormat="1" customHeight="1" ht="11.25">
      <c r="A88" s="982"/>
      <c r="B88" s="1661"/>
      <c r="C88" s="1661"/>
      <c r="D88" s="339"/>
      <c r="K88" s="1155"/>
      <c r="L88" s="1661"/>
      <c r="M88" s="1661"/>
      <c r="N88" s="1155"/>
      <c r="O88" s="1155"/>
      <c r="P88" s="1155"/>
      <c r="Q88" s="1155"/>
      <c r="R88" s="1661"/>
      <c r="S88" s="1155"/>
      <c r="T88" s="1155"/>
      <c r="U88" s="540"/>
      <c r="V88" s="1155"/>
      <c r="W88" s="1155"/>
      <c r="X88" s="1155"/>
      <c r="Y88" s="1155"/>
      <c r="Z88" s="1155"/>
      <c r="AA88" s="1657"/>
      <c r="AB88" s="562"/>
      <c r="AC88" s="562"/>
      <c r="AD88" s="562"/>
      <c r="AE88" s="562"/>
    </row>
    <row s="1666" customFormat="1" customHeight="1" ht="11.25">
      <c r="A89" s="982"/>
      <c r="B89" s="1661"/>
      <c r="C89" s="1661"/>
      <c r="D89" s="339"/>
      <c r="K89" s="1155"/>
      <c r="L89" s="1661"/>
      <c r="M89" s="1661"/>
      <c r="N89" s="1155"/>
      <c r="O89" s="1155"/>
      <c r="P89" s="1155"/>
      <c r="Q89" s="1155"/>
      <c r="R89" s="1661"/>
      <c r="S89" s="1155"/>
      <c r="T89" s="1155"/>
      <c r="U89" s="540"/>
      <c r="V89" s="1155"/>
      <c r="W89" s="1155"/>
      <c r="X89" s="1155"/>
      <c r="Y89" s="1155"/>
      <c r="Z89" s="1155"/>
      <c r="AA89" s="1657"/>
      <c r="AB89" s="562"/>
      <c r="AC89" s="562"/>
      <c r="AD89" s="562"/>
      <c r="AE89" s="562"/>
    </row>
    <row s="1666" customFormat="1" customHeight="1" ht="11.25">
      <c r="A90" s="982"/>
      <c r="B90" s="1661"/>
      <c r="C90" s="1661"/>
      <c r="D90" s="339"/>
      <c r="K90" s="1155"/>
      <c r="L90" s="1661"/>
      <c r="M90" s="1661"/>
      <c r="N90" s="1155"/>
      <c r="O90" s="1155"/>
      <c r="P90" s="1155"/>
      <c r="Q90" s="1155"/>
      <c r="R90" s="1661"/>
      <c r="S90" s="1155"/>
      <c r="T90" s="1155"/>
      <c r="U90" s="540"/>
      <c r="V90" s="1155"/>
      <c r="W90" s="1155"/>
      <c r="X90" s="1155"/>
      <c r="Y90" s="1155"/>
      <c r="Z90" s="1155"/>
      <c r="AA90" s="1657"/>
      <c r="AB90" s="562"/>
      <c r="AC90" s="562"/>
      <c r="AD90" s="562"/>
      <c r="AE90" s="562"/>
    </row>
    <row s="1666" customFormat="1" customHeight="1" ht="11.25">
      <c r="A91" s="982"/>
      <c r="B91" s="1661"/>
      <c r="C91" s="1661"/>
      <c r="D91" s="339"/>
      <c r="K91" s="1155"/>
      <c r="L91" s="1661"/>
      <c r="M91" s="1661"/>
      <c r="N91" s="1155"/>
      <c r="O91" s="1155"/>
      <c r="P91" s="1155"/>
      <c r="Q91" s="1155"/>
      <c r="R91" s="1661"/>
      <c r="S91" s="1155"/>
      <c r="T91" s="1155"/>
      <c r="U91" s="540"/>
      <c r="V91" s="1155"/>
      <c r="W91" s="1155"/>
      <c r="X91" s="1155"/>
      <c r="Y91" s="1155"/>
      <c r="Z91" s="1155"/>
      <c r="AA91" s="1657"/>
      <c r="AB91" s="562"/>
      <c r="AC91" s="562"/>
      <c r="AD91" s="562"/>
      <c r="AE91" s="562"/>
    </row>
    <row s="1666" customFormat="1" customHeight="1" ht="11.25">
      <c r="A92" s="982"/>
      <c r="B92" s="1661"/>
      <c r="C92" s="1661"/>
      <c r="D92" s="339"/>
      <c r="K92" s="1155"/>
      <c r="L92" s="1661"/>
      <c r="M92" s="1661"/>
      <c r="N92" s="1155"/>
      <c r="O92" s="1155"/>
      <c r="P92" s="1155"/>
      <c r="Q92" s="1155"/>
      <c r="R92" s="1661"/>
      <c r="S92" s="1155"/>
      <c r="T92" s="1155"/>
      <c r="U92" s="540"/>
      <c r="V92" s="1155"/>
      <c r="W92" s="1155"/>
      <c r="X92" s="1155"/>
      <c r="Y92" s="1155"/>
      <c r="Z92" s="1155"/>
      <c r="AA92" s="1657"/>
      <c r="AB92" s="562"/>
      <c r="AC92" s="562"/>
      <c r="AD92" s="562"/>
      <c r="AE92" s="562"/>
    </row>
    <row s="1666" customFormat="1" customHeight="1" ht="11.25">
      <c r="A93" s="982"/>
      <c r="B93" s="1661"/>
      <c r="C93" s="1661"/>
      <c r="D93" s="339"/>
      <c r="K93" s="1155"/>
      <c r="L93" s="1661"/>
      <c r="M93" s="1661"/>
      <c r="N93" s="1155"/>
      <c r="O93" s="1155"/>
      <c r="P93" s="1155"/>
      <c r="Q93" s="1155"/>
      <c r="R93" s="1661"/>
      <c r="S93" s="1155"/>
      <c r="T93" s="1155"/>
      <c r="U93" s="540"/>
      <c r="V93" s="1155"/>
      <c r="W93" s="1155"/>
      <c r="X93" s="1155"/>
      <c r="Y93" s="1155"/>
      <c r="Z93" s="1155"/>
      <c r="AA93" s="1657"/>
      <c r="AB93" s="562"/>
      <c r="AC93" s="562"/>
      <c r="AD93" s="562"/>
      <c r="AE93" s="562"/>
    </row>
    <row s="1666" customFormat="1" customHeight="1" ht="11.25">
      <c r="A94" s="982"/>
      <c r="B94" s="1661"/>
      <c r="C94" s="1661"/>
      <c r="D94" s="339"/>
      <c r="K94" s="1155"/>
      <c r="L94" s="1661"/>
      <c r="M94" s="1661"/>
      <c r="N94" s="1155"/>
      <c r="O94" s="1155"/>
      <c r="P94" s="1155"/>
      <c r="Q94" s="1155"/>
      <c r="R94" s="1661"/>
      <c r="S94" s="1155"/>
      <c r="T94" s="1155"/>
      <c r="U94" s="540"/>
      <c r="V94" s="1155"/>
      <c r="W94" s="1155"/>
      <c r="X94" s="1155"/>
      <c r="Y94" s="1155"/>
      <c r="Z94" s="1155"/>
      <c r="AA94" s="1657"/>
      <c r="AB94" s="562"/>
      <c r="AC94" s="562"/>
      <c r="AD94" s="562"/>
      <c r="AE94" s="562"/>
    </row>
    <row s="1666" customFormat="1" customHeight="1" ht="11.25">
      <c r="A95" s="982"/>
      <c r="B95" s="1661"/>
      <c r="C95" s="1661"/>
      <c r="D95" s="339"/>
      <c r="K95" s="1155"/>
      <c r="L95" s="1661"/>
      <c r="M95" s="1661"/>
      <c r="N95" s="1155"/>
      <c r="O95" s="1155"/>
      <c r="P95" s="1155"/>
      <c r="Q95" s="1155"/>
      <c r="R95" s="1661"/>
      <c r="S95" s="1155"/>
      <c r="T95" s="1155"/>
      <c r="U95" s="540"/>
      <c r="V95" s="1155"/>
      <c r="W95" s="1155"/>
      <c r="X95" s="1155"/>
      <c r="Y95" s="1155"/>
      <c r="Z95" s="1155"/>
      <c r="AA95" s="1657"/>
      <c r="AB95" s="562"/>
      <c r="AC95" s="562"/>
      <c r="AD95" s="562"/>
      <c r="AE95" s="562"/>
    </row>
    <row s="1666" customFormat="1" customHeight="1" ht="11.25">
      <c r="A96" s="982"/>
      <c r="B96" s="1661"/>
      <c r="C96" s="1661"/>
      <c r="D96" s="339"/>
      <c r="K96" s="1155"/>
      <c r="L96" s="1661"/>
      <c r="M96" s="1661"/>
      <c r="N96" s="1155"/>
      <c r="O96" s="1155"/>
      <c r="P96" s="1155"/>
      <c r="Q96" s="1155"/>
      <c r="R96" s="1661"/>
      <c r="S96" s="1155"/>
      <c r="T96" s="1155"/>
      <c r="U96" s="540"/>
      <c r="V96" s="1155"/>
      <c r="W96" s="1155"/>
      <c r="X96" s="1155"/>
      <c r="Y96" s="1155"/>
      <c r="Z96" s="1155"/>
      <c r="AA96" s="1657"/>
      <c r="AB96" s="562"/>
      <c r="AC96" s="562"/>
      <c r="AD96" s="562"/>
      <c r="AE96" s="562"/>
    </row>
    <row s="1666" customFormat="1" customHeight="1" ht="11.25">
      <c r="A97" s="982"/>
      <c r="B97" s="1661"/>
      <c r="C97" s="1661"/>
      <c r="D97" s="339"/>
      <c r="K97" s="1155"/>
      <c r="L97" s="1661"/>
      <c r="M97" s="1661"/>
      <c r="N97" s="1155"/>
      <c r="O97" s="1155"/>
      <c r="P97" s="1155"/>
      <c r="Q97" s="1155"/>
      <c r="R97" s="1661"/>
      <c r="S97" s="1155"/>
      <c r="T97" s="1155"/>
      <c r="U97" s="540"/>
      <c r="V97" s="1155"/>
      <c r="W97" s="1155"/>
      <c r="X97" s="1155"/>
      <c r="Y97" s="1155"/>
      <c r="Z97" s="1155"/>
      <c r="AA97" s="1657"/>
      <c r="AB97" s="562"/>
      <c r="AC97" s="562"/>
      <c r="AD97" s="562"/>
      <c r="AE97" s="562"/>
    </row>
    <row s="1666" customFormat="1" customHeight="1" ht="11.25">
      <c r="A98" s="982"/>
      <c r="B98" s="1661"/>
      <c r="C98" s="1661"/>
      <c r="D98" s="339"/>
      <c r="K98" s="1155"/>
      <c r="L98" s="1661"/>
      <c r="M98" s="1661"/>
      <c r="N98" s="1155"/>
      <c r="O98" s="1155"/>
      <c r="P98" s="1155"/>
      <c r="Q98" s="1155"/>
      <c r="R98" s="1661"/>
      <c r="S98" s="1155"/>
      <c r="T98" s="1155"/>
      <c r="U98" s="540"/>
      <c r="V98" s="1155"/>
      <c r="W98" s="1155"/>
      <c r="X98" s="1155"/>
      <c r="Y98" s="1155"/>
      <c r="Z98" s="1155"/>
      <c r="AA98" s="1657"/>
      <c r="AB98" s="562"/>
      <c r="AC98" s="562"/>
      <c r="AD98" s="562"/>
      <c r="AE98" s="562"/>
    </row>
    <row s="1666" customFormat="1" customHeight="1" ht="11.25">
      <c r="A99" s="982"/>
      <c r="B99" s="1661"/>
      <c r="C99" s="1661"/>
      <c r="D99" s="339"/>
      <c r="K99" s="1155"/>
      <c r="L99" s="1661"/>
      <c r="M99" s="1661"/>
      <c r="N99" s="1155"/>
      <c r="O99" s="1155"/>
      <c r="P99" s="1155"/>
      <c r="Q99" s="1155"/>
      <c r="R99" s="1661"/>
      <c r="S99" s="1155"/>
      <c r="T99" s="1155"/>
      <c r="U99" s="540"/>
      <c r="V99" s="1155"/>
      <c r="W99" s="1155"/>
      <c r="X99" s="1155"/>
      <c r="Y99" s="1155"/>
      <c r="Z99" s="1155"/>
      <c r="AA99" s="1657"/>
      <c r="AB99" s="562"/>
      <c r="AC99" s="562"/>
      <c r="AD99" s="562"/>
      <c r="AE99" s="562"/>
    </row>
    <row s="1666" customFormat="1" customHeight="1" ht="11.25">
      <c r="A100" s="982"/>
      <c r="B100" s="1661"/>
      <c r="C100" s="1661"/>
      <c r="D100" s="339"/>
      <c r="K100" s="1155"/>
      <c r="L100" s="1661"/>
      <c r="M100" s="1661"/>
      <c r="N100" s="1155"/>
      <c r="O100" s="1155"/>
      <c r="P100" s="1155"/>
      <c r="Q100" s="1155"/>
      <c r="R100" s="1661"/>
      <c r="S100" s="1155"/>
      <c r="T100" s="1155"/>
      <c r="U100" s="540"/>
      <c r="V100" s="1155"/>
      <c r="W100" s="1155"/>
      <c r="X100" s="1155"/>
      <c r="Y100" s="1155"/>
      <c r="Z100" s="1155"/>
      <c r="AA100" s="1657"/>
      <c r="AB100" s="562"/>
      <c r="AC100" s="562"/>
      <c r="AD100" s="562"/>
      <c r="AE100" s="562"/>
    </row>
    <row s="1666" customFormat="1" customHeight="1" ht="11.25">
      <c r="A101" s="982"/>
      <c r="B101" s="1661"/>
      <c r="C101" s="1661"/>
      <c r="D101" s="339"/>
      <c r="K101" s="1155"/>
      <c r="L101" s="1661"/>
      <c r="M101" s="1661"/>
      <c r="N101" s="1155"/>
      <c r="O101" s="1155"/>
      <c r="P101" s="1155"/>
      <c r="Q101" s="1155"/>
      <c r="R101" s="1661"/>
      <c r="S101" s="1155"/>
      <c r="T101" s="1155"/>
      <c r="U101" s="540"/>
      <c r="V101" s="1155"/>
      <c r="W101" s="1155"/>
      <c r="X101" s="1155"/>
      <c r="Y101" s="1155"/>
      <c r="Z101" s="1155"/>
      <c r="AA101" s="1657"/>
      <c r="AB101" s="562"/>
      <c r="AC101" s="562"/>
      <c r="AD101" s="562"/>
      <c r="AE101" s="562"/>
    </row>
    <row s="1666" customFormat="1" customHeight="1" ht="11.25">
      <c r="A102" s="982"/>
      <c r="B102" s="1661"/>
      <c r="C102" s="1661"/>
      <c r="D102" s="339"/>
      <c r="K102" s="1155"/>
      <c r="L102" s="1661"/>
      <c r="M102" s="1661"/>
      <c r="N102" s="1155"/>
      <c r="O102" s="1155"/>
      <c r="P102" s="1155"/>
      <c r="Q102" s="1155"/>
      <c r="R102" s="1661"/>
      <c r="S102" s="1155"/>
      <c r="T102" s="1155"/>
      <c r="U102" s="540"/>
      <c r="V102" s="1155"/>
      <c r="W102" s="1155"/>
      <c r="X102" s="1155"/>
      <c r="Y102" s="1155"/>
      <c r="Z102" s="1155"/>
      <c r="AA102" s="1657"/>
      <c r="AB102" s="562"/>
      <c r="AC102" s="562"/>
      <c r="AD102" s="562"/>
      <c r="AE102" s="562"/>
    </row>
    <row s="1666" customFormat="1" customHeight="1" ht="11.25">
      <c r="A103" s="982"/>
      <c r="B103" s="1661"/>
      <c r="C103" s="1661"/>
      <c r="D103" s="339"/>
      <c r="K103" s="1155"/>
      <c r="L103" s="1661"/>
      <c r="M103" s="1661"/>
      <c r="N103" s="1155"/>
      <c r="O103" s="1155"/>
      <c r="P103" s="1155"/>
      <c r="Q103" s="1155"/>
      <c r="R103" s="1661"/>
      <c r="S103" s="1155"/>
      <c r="T103" s="1155"/>
      <c r="U103" s="540"/>
      <c r="V103" s="1155"/>
      <c r="W103" s="1155"/>
      <c r="X103" s="1155"/>
      <c r="Y103" s="1155"/>
      <c r="Z103" s="1155"/>
      <c r="AA103" s="1657"/>
      <c r="AB103" s="562"/>
      <c r="AC103" s="562"/>
      <c r="AD103" s="562"/>
      <c r="AE103" s="562"/>
    </row>
    <row s="1666" customFormat="1" customHeight="1" ht="11.25">
      <c r="A104" s="982"/>
      <c r="B104" s="1661"/>
      <c r="C104" s="1661"/>
      <c r="D104" s="339"/>
      <c r="K104" s="1155"/>
      <c r="L104" s="1661"/>
      <c r="M104" s="1661"/>
      <c r="N104" s="1155"/>
      <c r="O104" s="1155"/>
      <c r="P104" s="1155"/>
      <c r="Q104" s="1155"/>
      <c r="R104" s="1661"/>
      <c r="S104" s="1155"/>
      <c r="T104" s="1155"/>
      <c r="U104" s="540"/>
      <c r="V104" s="1155"/>
      <c r="W104" s="1155"/>
      <c r="X104" s="1155"/>
      <c r="Y104" s="1155"/>
      <c r="Z104" s="1155"/>
      <c r="AA104" s="1657"/>
      <c r="AB104" s="562"/>
      <c r="AC104" s="562"/>
      <c r="AD104" s="562"/>
      <c r="AE104" s="562"/>
    </row>
    <row s="1666" customFormat="1" customHeight="1" ht="11.25">
      <c r="A105" s="982"/>
      <c r="B105" s="1661"/>
      <c r="C105" s="1661"/>
      <c r="D105" s="339"/>
      <c r="K105" s="1155"/>
      <c r="L105" s="1661"/>
      <c r="M105" s="1661"/>
      <c r="N105" s="1155"/>
      <c r="O105" s="1155"/>
      <c r="P105" s="1155"/>
      <c r="Q105" s="1155"/>
      <c r="R105" s="1661"/>
      <c r="S105" s="1155"/>
      <c r="T105" s="1155"/>
      <c r="U105" s="540"/>
      <c r="V105" s="1155"/>
      <c r="W105" s="1155"/>
      <c r="X105" s="1155"/>
      <c r="Y105" s="1155"/>
      <c r="Z105" s="1155"/>
      <c r="AA105" s="1657"/>
      <c r="AB105" s="562"/>
      <c r="AC105" s="562"/>
      <c r="AD105" s="562"/>
      <c r="AE105" s="562"/>
    </row>
    <row s="1666" customFormat="1" customHeight="1" ht="11.25">
      <c r="A106" s="982"/>
      <c r="B106" s="1661"/>
      <c r="C106" s="1661"/>
      <c r="D106" s="339"/>
      <c r="K106" s="1155"/>
      <c r="L106" s="1661"/>
      <c r="M106" s="1661"/>
      <c r="N106" s="1155"/>
      <c r="O106" s="1155"/>
      <c r="P106" s="1155"/>
      <c r="Q106" s="1155"/>
      <c r="R106" s="1661"/>
      <c r="S106" s="1155"/>
      <c r="T106" s="1155"/>
      <c r="U106" s="540"/>
      <c r="V106" s="1155"/>
      <c r="W106" s="1155"/>
      <c r="X106" s="1155"/>
      <c r="Y106" s="1155"/>
      <c r="Z106" s="1155"/>
      <c r="AA106" s="1657"/>
      <c r="AB106" s="562"/>
      <c r="AC106" s="562"/>
      <c r="AD106" s="562"/>
      <c r="AE106" s="562"/>
    </row>
    <row s="1666" customFormat="1" customHeight="1" ht="11.25">
      <c r="A107" s="982"/>
      <c r="B107" s="1661"/>
      <c r="C107" s="1661"/>
      <c r="D107" s="339"/>
      <c r="K107" s="1155"/>
      <c r="L107" s="1661"/>
      <c r="M107" s="1661"/>
      <c r="N107" s="1155"/>
      <c r="O107" s="1155"/>
      <c r="P107" s="1155"/>
      <c r="Q107" s="1155"/>
      <c r="R107" s="1661"/>
      <c r="S107" s="1155"/>
      <c r="T107" s="1155"/>
      <c r="U107" s="540"/>
      <c r="V107" s="1155"/>
      <c r="W107" s="1155"/>
      <c r="X107" s="1155"/>
      <c r="Y107" s="1155"/>
      <c r="Z107" s="1155"/>
      <c r="AA107" s="1657"/>
      <c r="AB107" s="562"/>
      <c r="AC107" s="562"/>
      <c r="AD107" s="562"/>
      <c r="AE107" s="562"/>
    </row>
    <row s="1666" customFormat="1" customHeight="1" ht="11.25">
      <c r="A108" s="982"/>
      <c r="B108" s="1661"/>
      <c r="C108" s="1661"/>
      <c r="D108" s="339"/>
      <c r="K108" s="1155"/>
      <c r="L108" s="1661"/>
      <c r="M108" s="1661"/>
      <c r="N108" s="1155"/>
      <c r="O108" s="1155"/>
      <c r="P108" s="1155"/>
      <c r="Q108" s="1155"/>
      <c r="R108" s="1661"/>
      <c r="S108" s="1155"/>
      <c r="T108" s="1155"/>
      <c r="U108" s="540"/>
      <c r="V108" s="1155"/>
      <c r="W108" s="1155"/>
      <c r="X108" s="1155"/>
      <c r="Y108" s="1155"/>
      <c r="Z108" s="1155"/>
      <c r="AA108" s="1657"/>
      <c r="AB108" s="562"/>
      <c r="AC108" s="562"/>
      <c r="AD108" s="562"/>
      <c r="AE108" s="562"/>
    </row>
    <row s="1666" customFormat="1" customHeight="1" ht="11.25">
      <c r="A109" s="982"/>
      <c r="B109" s="1661"/>
      <c r="C109" s="1661"/>
      <c r="D109" s="339"/>
      <c r="K109" s="1155"/>
      <c r="L109" s="1661"/>
      <c r="M109" s="1661"/>
      <c r="N109" s="1155"/>
      <c r="O109" s="1155"/>
      <c r="P109" s="1155"/>
      <c r="Q109" s="1155"/>
      <c r="R109" s="1661"/>
      <c r="S109" s="1155"/>
      <c r="T109" s="1155"/>
      <c r="U109" s="540"/>
      <c r="V109" s="1155"/>
      <c r="W109" s="1155"/>
      <c r="X109" s="1155"/>
      <c r="Y109" s="1155"/>
      <c r="Z109" s="1155"/>
      <c r="AA109" s="1657"/>
      <c r="AB109" s="562"/>
      <c r="AC109" s="562"/>
      <c r="AD109" s="562"/>
      <c r="AE109" s="562"/>
    </row>
    <row s="1666" customFormat="1" customHeight="1" ht="11.25">
      <c r="A110" s="982"/>
      <c r="B110" s="1661"/>
      <c r="C110" s="1661"/>
      <c r="D110" s="339"/>
      <c r="K110" s="1155"/>
      <c r="L110" s="1661"/>
      <c r="M110" s="1661"/>
      <c r="N110" s="1155"/>
      <c r="O110" s="1155"/>
      <c r="P110" s="1155"/>
      <c r="Q110" s="1155"/>
      <c r="R110" s="1661"/>
      <c r="S110" s="1155"/>
      <c r="T110" s="1155"/>
      <c r="U110" s="540"/>
      <c r="V110" s="1155"/>
      <c r="W110" s="1155"/>
      <c r="X110" s="1155"/>
      <c r="Y110" s="1155"/>
      <c r="Z110" s="1155"/>
      <c r="AA110" s="1657"/>
      <c r="AB110" s="562"/>
      <c r="AC110" s="562"/>
      <c r="AD110" s="562"/>
      <c r="AE110" s="562"/>
    </row>
    <row s="1666" customFormat="1" customHeight="1" ht="11.25">
      <c r="A111" s="982"/>
      <c r="B111" s="1661"/>
      <c r="C111" s="1661"/>
      <c r="D111" s="339"/>
      <c r="K111" s="1155"/>
      <c r="L111" s="1661"/>
      <c r="M111" s="1661"/>
      <c r="N111" s="1155"/>
      <c r="O111" s="1155"/>
      <c r="P111" s="1155"/>
      <c r="Q111" s="1155"/>
      <c r="R111" s="1661"/>
      <c r="S111" s="1155"/>
      <c r="T111" s="1155"/>
      <c r="U111" s="540"/>
      <c r="V111" s="1155"/>
      <c r="W111" s="1155"/>
      <c r="X111" s="1155"/>
      <c r="Y111" s="1155"/>
      <c r="Z111" s="1155"/>
      <c r="AA111" s="1657"/>
      <c r="AB111" s="562"/>
      <c r="AC111" s="562"/>
      <c r="AD111" s="562"/>
      <c r="AE111" s="562"/>
    </row>
    <row s="1666" customFormat="1" customHeight="1" ht="11.25">
      <c r="A112" s="982"/>
      <c r="B112" s="1661"/>
      <c r="C112" s="1661"/>
      <c r="D112" s="339"/>
      <c r="K112" s="1155"/>
      <c r="L112" s="1661"/>
      <c r="M112" s="1661"/>
      <c r="N112" s="1155"/>
      <c r="O112" s="1155"/>
      <c r="P112" s="1155"/>
      <c r="Q112" s="1155"/>
      <c r="R112" s="1661"/>
      <c r="S112" s="1155"/>
      <c r="T112" s="1155"/>
      <c r="U112" s="540"/>
      <c r="V112" s="1155"/>
      <c r="W112" s="1155"/>
      <c r="X112" s="1155"/>
      <c r="Y112" s="1155"/>
      <c r="Z112" s="1155"/>
      <c r="AA112" s="1657"/>
      <c r="AB112" s="562"/>
      <c r="AC112" s="562"/>
      <c r="AD112" s="562"/>
      <c r="AE112" s="562"/>
    </row>
    <row s="1666" customFormat="1" customHeight="1" ht="11.25">
      <c r="A113" s="982"/>
      <c r="B113" s="1661"/>
      <c r="C113" s="1661"/>
      <c r="D113" s="339"/>
      <c r="K113" s="1155"/>
      <c r="L113" s="1661"/>
      <c r="M113" s="1661"/>
      <c r="N113" s="1155"/>
      <c r="O113" s="1155"/>
      <c r="P113" s="1155"/>
      <c r="Q113" s="1155"/>
      <c r="R113" s="1661"/>
      <c r="S113" s="1155"/>
      <c r="T113" s="1155"/>
      <c r="U113" s="540"/>
      <c r="V113" s="1155"/>
      <c r="W113" s="1155"/>
      <c r="X113" s="1155"/>
      <c r="Y113" s="1155"/>
      <c r="Z113" s="1155"/>
      <c r="AA113" s="1657"/>
      <c r="AB113" s="562"/>
      <c r="AC113" s="562"/>
      <c r="AD113" s="562"/>
      <c r="AE113" s="562"/>
    </row>
    <row s="1666" customFormat="1" customHeight="1" ht="11.25">
      <c r="A114" s="982"/>
      <c r="B114" s="1661"/>
      <c r="C114" s="1661"/>
      <c r="D114" s="339"/>
      <c r="K114" s="1155"/>
      <c r="L114" s="1661"/>
      <c r="M114" s="1661"/>
      <c r="N114" s="1155"/>
      <c r="O114" s="1155"/>
      <c r="P114" s="1155"/>
      <c r="Q114" s="1155"/>
      <c r="R114" s="1661"/>
      <c r="S114" s="1155"/>
      <c r="T114" s="1155"/>
      <c r="U114" s="540"/>
      <c r="V114" s="1155"/>
      <c r="W114" s="1155"/>
      <c r="X114" s="1155"/>
      <c r="Y114" s="1155"/>
      <c r="Z114" s="1155"/>
      <c r="AA114" s="1657"/>
      <c r="AB114" s="562"/>
      <c r="AC114" s="562"/>
      <c r="AD114" s="562"/>
      <c r="AE114" s="562"/>
    </row>
    <row s="1666" customFormat="1" customHeight="1" ht="11.25">
      <c r="A115" s="982"/>
      <c r="B115" s="1661"/>
      <c r="C115" s="1661"/>
      <c r="D115" s="339"/>
      <c r="K115" s="1155"/>
      <c r="L115" s="1661"/>
      <c r="M115" s="1661"/>
      <c r="N115" s="1155"/>
      <c r="O115" s="1155"/>
      <c r="P115" s="1155"/>
      <c r="Q115" s="1155"/>
      <c r="R115" s="1661"/>
      <c r="S115" s="1155"/>
      <c r="T115" s="1155"/>
      <c r="U115" s="540"/>
      <c r="V115" s="1155"/>
      <c r="W115" s="1155"/>
      <c r="X115" s="1155"/>
      <c r="Y115" s="1155"/>
      <c r="Z115" s="1155"/>
      <c r="AA115" s="1657"/>
      <c r="AB115" s="562"/>
      <c r="AC115" s="562"/>
      <c r="AD115" s="562"/>
      <c r="AE115" s="562"/>
    </row>
    <row s="1666" customFormat="1" customHeight="1" ht="11.25">
      <c r="A116" s="982"/>
      <c r="B116" s="1661"/>
      <c r="C116" s="1661"/>
      <c r="D116" s="339"/>
      <c r="K116" s="1155"/>
      <c r="L116" s="1661"/>
      <c r="M116" s="1661"/>
      <c r="N116" s="1155"/>
      <c r="O116" s="1155"/>
      <c r="P116" s="1155"/>
      <c r="Q116" s="1155"/>
      <c r="R116" s="1661"/>
      <c r="S116" s="1155"/>
      <c r="T116" s="1155"/>
      <c r="U116" s="540"/>
      <c r="V116" s="1155"/>
      <c r="W116" s="1155"/>
      <c r="X116" s="1155"/>
      <c r="Y116" s="1155"/>
      <c r="Z116" s="1155"/>
      <c r="AA116" s="1657"/>
      <c r="AB116" s="562"/>
      <c r="AC116" s="562"/>
      <c r="AD116" s="562"/>
      <c r="AE116" s="562"/>
    </row>
    <row s="1666" customFormat="1" customHeight="1" ht="11.25">
      <c r="A117" s="982"/>
      <c r="B117" s="1661"/>
      <c r="C117" s="1661"/>
      <c r="D117" s="339"/>
      <c r="K117" s="1155"/>
      <c r="L117" s="1661"/>
      <c r="M117" s="1661"/>
      <c r="N117" s="1155"/>
      <c r="O117" s="1155"/>
      <c r="P117" s="1155"/>
      <c r="Q117" s="1155"/>
      <c r="R117" s="1661"/>
      <c r="S117" s="1155"/>
      <c r="T117" s="1155"/>
      <c r="U117" s="540"/>
      <c r="V117" s="1155"/>
      <c r="W117" s="1155"/>
      <c r="X117" s="1155"/>
      <c r="Y117" s="1155"/>
      <c r="Z117" s="1155"/>
      <c r="AA117" s="1657"/>
      <c r="AB117" s="562"/>
      <c r="AC117" s="562"/>
      <c r="AD117" s="562"/>
      <c r="AE117" s="562"/>
    </row>
    <row s="1666" customFormat="1" customHeight="1" ht="11.25">
      <c r="A118" s="982"/>
      <c r="B118" s="1661"/>
      <c r="C118" s="1661"/>
      <c r="D118" s="339"/>
      <c r="K118" s="1155"/>
      <c r="L118" s="1661"/>
      <c r="M118" s="1661"/>
      <c r="N118" s="1155"/>
      <c r="O118" s="1155"/>
      <c r="P118" s="1155"/>
      <c r="Q118" s="1155"/>
      <c r="R118" s="1661"/>
      <c r="S118" s="1155"/>
      <c r="T118" s="1155"/>
      <c r="U118" s="540"/>
      <c r="V118" s="1155"/>
      <c r="W118" s="1155"/>
      <c r="X118" s="1155"/>
      <c r="Y118" s="1155"/>
      <c r="Z118" s="1155"/>
      <c r="AA118" s="1657"/>
      <c r="AB118" s="562"/>
      <c r="AC118" s="562"/>
      <c r="AD118" s="562"/>
      <c r="AE118" s="562"/>
    </row>
    <row s="1666" customFormat="1" customHeight="1" ht="11.25">
      <c r="A119" s="982"/>
      <c r="B119" s="1661"/>
      <c r="C119" s="1661"/>
      <c r="D119" s="339"/>
      <c r="K119" s="1155"/>
      <c r="L119" s="1661"/>
      <c r="M119" s="1661"/>
      <c r="N119" s="1155"/>
      <c r="O119" s="1155"/>
      <c r="P119" s="1155"/>
      <c r="Q119" s="1155"/>
      <c r="R119" s="1661"/>
      <c r="S119" s="1155"/>
      <c r="T119" s="1155"/>
      <c r="U119" s="540"/>
      <c r="V119" s="1155"/>
      <c r="W119" s="1155"/>
      <c r="X119" s="1155"/>
      <c r="Y119" s="1155"/>
      <c r="Z119" s="1155"/>
      <c r="AA119" s="1657"/>
      <c r="AB119" s="562"/>
      <c r="AC119" s="562"/>
      <c r="AD119" s="562"/>
      <c r="AE119" s="562"/>
    </row>
    <row s="1666" customFormat="1" customHeight="1" ht="11.25">
      <c r="A120" s="982"/>
      <c r="B120" s="1661"/>
      <c r="C120" s="1661"/>
      <c r="D120" s="339"/>
      <c r="K120" s="1155"/>
      <c r="L120" s="1661"/>
      <c r="M120" s="1661"/>
      <c r="N120" s="1155"/>
      <c r="O120" s="1155"/>
      <c r="P120" s="1155"/>
      <c r="Q120" s="1155"/>
      <c r="R120" s="1661"/>
      <c r="S120" s="1155"/>
      <c r="T120" s="1155"/>
      <c r="U120" s="540"/>
      <c r="V120" s="1155"/>
      <c r="W120" s="1155"/>
      <c r="X120" s="1155"/>
      <c r="Y120" s="1155"/>
      <c r="Z120" s="1155"/>
      <c r="AA120" s="1657"/>
      <c r="AB120" s="562"/>
      <c r="AC120" s="562"/>
      <c r="AD120" s="562"/>
      <c r="AE120" s="562"/>
    </row>
    <row s="1666" customFormat="1" customHeight="1" ht="11.25">
      <c r="A121" s="982"/>
      <c r="B121" s="1661"/>
      <c r="C121" s="1661"/>
      <c r="D121" s="339"/>
      <c r="K121" s="1155"/>
      <c r="L121" s="1661"/>
      <c r="M121" s="1661"/>
      <c r="N121" s="1155"/>
      <c r="O121" s="1155"/>
      <c r="P121" s="1155"/>
      <c r="Q121" s="1155"/>
      <c r="R121" s="1661"/>
      <c r="S121" s="1155"/>
      <c r="T121" s="1155"/>
      <c r="U121" s="540"/>
      <c r="V121" s="1155"/>
      <c r="W121" s="1155"/>
      <c r="X121" s="1155"/>
      <c r="Y121" s="1155"/>
      <c r="Z121" s="1155"/>
      <c r="AA121" s="1657"/>
      <c r="AB121" s="562"/>
      <c r="AC121" s="562"/>
      <c r="AD121" s="562"/>
      <c r="AE121" s="562"/>
    </row>
    <row s="1666" customFormat="1" customHeight="1" ht="11.25">
      <c r="A122" s="982"/>
      <c r="B122" s="1661"/>
      <c r="C122" s="1661"/>
      <c r="D122" s="339"/>
      <c r="K122" s="1155"/>
      <c r="L122" s="1661"/>
      <c r="M122" s="1661"/>
      <c r="N122" s="1155"/>
      <c r="O122" s="1155"/>
      <c r="P122" s="1155"/>
      <c r="Q122" s="1155"/>
      <c r="R122" s="1661"/>
      <c r="S122" s="1155"/>
      <c r="T122" s="1155"/>
      <c r="U122" s="540"/>
      <c r="V122" s="1155"/>
      <c r="W122" s="1155"/>
      <c r="X122" s="1155"/>
      <c r="Y122" s="1155"/>
      <c r="Z122" s="1155"/>
      <c r="AA122" s="1657"/>
      <c r="AB122" s="562"/>
      <c r="AC122" s="562"/>
      <c r="AD122" s="562"/>
      <c r="AE122" s="562"/>
    </row>
    <row s="1666" customFormat="1" customHeight="1" ht="11.25">
      <c r="A123" s="982"/>
      <c r="B123" s="1661"/>
      <c r="C123" s="1661"/>
      <c r="D123" s="339"/>
      <c r="K123" s="1155"/>
      <c r="L123" s="1661"/>
      <c r="M123" s="1661"/>
      <c r="N123" s="1155"/>
      <c r="O123" s="1155"/>
      <c r="P123" s="1155"/>
      <c r="Q123" s="1155"/>
      <c r="R123" s="1661"/>
      <c r="S123" s="1155"/>
      <c r="T123" s="1155"/>
      <c r="U123" s="540"/>
      <c r="V123" s="1155"/>
      <c r="W123" s="1155"/>
      <c r="X123" s="1155"/>
      <c r="Y123" s="1155"/>
      <c r="Z123" s="1155"/>
      <c r="AA123" s="1657"/>
      <c r="AB123" s="562"/>
      <c r="AC123" s="562"/>
      <c r="AD123" s="562"/>
      <c r="AE123" s="562"/>
    </row>
    <row s="1666" customFormat="1" customHeight="1" ht="11.25">
      <c r="A124" s="982"/>
      <c r="B124" s="1661"/>
      <c r="C124" s="1661"/>
      <c r="D124" s="339"/>
      <c r="K124" s="1155"/>
      <c r="L124" s="1661"/>
      <c r="M124" s="1661"/>
      <c r="N124" s="1155"/>
      <c r="O124" s="1155"/>
      <c r="P124" s="1155"/>
      <c r="Q124" s="1155"/>
      <c r="R124" s="1661"/>
      <c r="S124" s="1155"/>
      <c r="T124" s="1155"/>
      <c r="U124" s="540"/>
      <c r="V124" s="1155"/>
      <c r="W124" s="1155"/>
      <c r="X124" s="1155"/>
      <c r="Y124" s="1155"/>
      <c r="Z124" s="1155"/>
      <c r="AA124" s="1657"/>
      <c r="AB124" s="562"/>
      <c r="AC124" s="562"/>
      <c r="AD124" s="562"/>
      <c r="AE124" s="562"/>
    </row>
    <row s="1666" customFormat="1" customHeight="1" ht="11.25">
      <c r="A125" s="982"/>
      <c r="B125" s="1661"/>
      <c r="C125" s="1661"/>
      <c r="D125" s="339"/>
      <c r="K125" s="1155"/>
      <c r="L125" s="1661"/>
      <c r="M125" s="1661"/>
      <c r="N125" s="1155"/>
      <c r="O125" s="1155"/>
      <c r="P125" s="1155"/>
      <c r="Q125" s="1155"/>
      <c r="R125" s="1661"/>
      <c r="S125" s="1155"/>
      <c r="T125" s="1155"/>
      <c r="U125" s="540"/>
      <c r="V125" s="1155"/>
      <c r="W125" s="1155"/>
      <c r="X125" s="1155"/>
      <c r="Y125" s="1155"/>
      <c r="Z125" s="1155"/>
      <c r="AA125" s="1657"/>
      <c r="AB125" s="562"/>
      <c r="AC125" s="562"/>
      <c r="AD125" s="562"/>
      <c r="AE125" s="562"/>
    </row>
    <row s="1666" customFormat="1" customHeight="1" ht="11.25">
      <c r="A126" s="982"/>
      <c r="B126" s="1661"/>
      <c r="C126" s="1661"/>
      <c r="D126" s="339"/>
      <c r="K126" s="1155"/>
      <c r="L126" s="1661"/>
      <c r="M126" s="1661"/>
      <c r="N126" s="1155"/>
      <c r="O126" s="1155"/>
      <c r="P126" s="1155"/>
      <c r="Q126" s="1155"/>
      <c r="R126" s="1661"/>
      <c r="S126" s="1155"/>
      <c r="T126" s="1155"/>
      <c r="U126" s="540"/>
      <c r="V126" s="1155"/>
      <c r="W126" s="1155"/>
      <c r="X126" s="1155"/>
      <c r="Y126" s="1155"/>
      <c r="Z126" s="1155"/>
      <c r="AA126" s="1657"/>
      <c r="AB126" s="562"/>
      <c r="AC126" s="562"/>
      <c r="AD126" s="562"/>
      <c r="AE126" s="562"/>
    </row>
    <row s="1666" customFormat="1" customHeight="1" ht="11.25">
      <c r="A127" s="982"/>
      <c r="B127" s="1661"/>
      <c r="C127" s="1661"/>
      <c r="D127" s="339"/>
      <c r="K127" s="1155"/>
      <c r="L127" s="1661"/>
      <c r="M127" s="1661"/>
      <c r="N127" s="1155"/>
      <c r="O127" s="1155"/>
      <c r="P127" s="1155"/>
      <c r="Q127" s="1155"/>
      <c r="R127" s="1661"/>
      <c r="S127" s="1155"/>
      <c r="T127" s="1155"/>
      <c r="U127" s="540"/>
      <c r="V127" s="1155"/>
      <c r="W127" s="1155"/>
      <c r="X127" s="1155"/>
      <c r="Y127" s="1155"/>
      <c r="Z127" s="1155"/>
      <c r="AA127" s="1657"/>
      <c r="AB127" s="562"/>
      <c r="AC127" s="562"/>
      <c r="AD127" s="562"/>
      <c r="AE127" s="562"/>
    </row>
    <row s="1666" customFormat="1" customHeight="1" ht="11.25">
      <c r="A128" s="982"/>
      <c r="B128" s="1661"/>
      <c r="C128" s="1661"/>
      <c r="D128" s="339"/>
      <c r="K128" s="1155"/>
      <c r="L128" s="1661"/>
      <c r="M128" s="1661"/>
      <c r="N128" s="1155"/>
      <c r="O128" s="1155"/>
      <c r="P128" s="1155"/>
      <c r="Q128" s="1155"/>
      <c r="R128" s="1661"/>
      <c r="S128" s="1155"/>
      <c r="T128" s="1155"/>
      <c r="U128" s="540"/>
      <c r="V128" s="1155"/>
      <c r="W128" s="1155"/>
      <c r="X128" s="1155"/>
      <c r="Y128" s="1155"/>
      <c r="Z128" s="1155"/>
      <c r="AA128" s="1657"/>
      <c r="AB128" s="562"/>
      <c r="AC128" s="562"/>
      <c r="AD128" s="562"/>
      <c r="AE128" s="562"/>
    </row>
    <row s="1666" customFormat="1" customHeight="1" ht="11.25">
      <c r="A129" s="982"/>
      <c r="B129" s="1661"/>
      <c r="C129" s="1661"/>
      <c r="D129" s="339"/>
      <c r="K129" s="1155"/>
      <c r="L129" s="1661"/>
      <c r="M129" s="1661"/>
      <c r="N129" s="1155"/>
      <c r="O129" s="1155"/>
      <c r="P129" s="1155"/>
      <c r="Q129" s="1155"/>
      <c r="R129" s="1661"/>
      <c r="S129" s="1155"/>
      <c r="T129" s="1155"/>
      <c r="U129" s="540"/>
      <c r="V129" s="1155"/>
      <c r="W129" s="1155"/>
      <c r="X129" s="1155"/>
      <c r="Y129" s="1155"/>
      <c r="Z129" s="1155"/>
      <c r="AA129" s="1657"/>
      <c r="AB129" s="562"/>
      <c r="AC129" s="562"/>
      <c r="AD129" s="562"/>
      <c r="AE129" s="562"/>
    </row>
    <row s="1666" customFormat="1" customHeight="1" ht="11.25">
      <c r="A130" s="982"/>
      <c r="B130" s="1661"/>
      <c r="C130" s="1661"/>
      <c r="D130" s="339"/>
      <c r="K130" s="1155"/>
      <c r="L130" s="1661"/>
      <c r="M130" s="1661"/>
      <c r="N130" s="1155"/>
      <c r="O130" s="1155"/>
      <c r="P130" s="1155"/>
      <c r="Q130" s="1155"/>
      <c r="R130" s="1661"/>
      <c r="S130" s="1155"/>
      <c r="T130" s="1155"/>
      <c r="U130" s="540"/>
      <c r="V130" s="1155"/>
      <c r="W130" s="1155"/>
      <c r="X130" s="1155"/>
      <c r="Y130" s="1155"/>
      <c r="Z130" s="1155"/>
      <c r="AA130" s="1657"/>
      <c r="AB130" s="562"/>
      <c r="AC130" s="562"/>
      <c r="AD130" s="562"/>
      <c r="AE130" s="562"/>
    </row>
    <row s="1666" customFormat="1" customHeight="1" ht="11.25">
      <c r="A131" s="982"/>
      <c r="B131" s="1661"/>
      <c r="C131" s="1661"/>
      <c r="D131" s="339"/>
      <c r="K131" s="1155"/>
      <c r="L131" s="1661"/>
      <c r="M131" s="1661"/>
      <c r="N131" s="1155"/>
      <c r="O131" s="1155"/>
      <c r="P131" s="1155"/>
      <c r="Q131" s="1155"/>
      <c r="R131" s="1661"/>
      <c r="S131" s="1155"/>
      <c r="T131" s="1155"/>
      <c r="U131" s="540"/>
      <c r="V131" s="1155"/>
      <c r="W131" s="1155"/>
      <c r="X131" s="1155"/>
      <c r="Y131" s="1155"/>
      <c r="Z131" s="1155"/>
      <c r="AA131" s="1657"/>
      <c r="AB131" s="562"/>
      <c r="AC131" s="562"/>
      <c r="AD131" s="562"/>
      <c r="AE131" s="562"/>
    </row>
    <row s="1666" customFormat="1" customHeight="1" ht="11.25">
      <c r="A132" s="982"/>
      <c r="B132" s="1661"/>
      <c r="C132" s="1661"/>
      <c r="D132" s="339"/>
      <c r="K132" s="1155"/>
      <c r="L132" s="1661"/>
      <c r="M132" s="1661"/>
      <c r="N132" s="1155"/>
      <c r="O132" s="1155"/>
      <c r="P132" s="1155"/>
      <c r="Q132" s="1155"/>
      <c r="R132" s="1661"/>
      <c r="S132" s="1155"/>
      <c r="T132" s="1155"/>
      <c r="U132" s="540"/>
      <c r="V132" s="1155"/>
      <c r="W132" s="1155"/>
      <c r="X132" s="1155"/>
      <c r="Y132" s="1155"/>
      <c r="Z132" s="1155"/>
      <c r="AA132" s="1657"/>
      <c r="AB132" s="562"/>
      <c r="AC132" s="562"/>
      <c r="AD132" s="562"/>
      <c r="AE132" s="562"/>
    </row>
    <row s="1666" customFormat="1" customHeight="1" ht="11.25">
      <c r="A133" s="982"/>
      <c r="B133" s="1661"/>
      <c r="C133" s="1661"/>
      <c r="D133" s="339"/>
      <c r="K133" s="1155"/>
      <c r="L133" s="1661"/>
      <c r="M133" s="1661"/>
      <c r="N133" s="1155"/>
      <c r="O133" s="1155"/>
      <c r="P133" s="1155"/>
      <c r="Q133" s="1155"/>
      <c r="R133" s="1661"/>
      <c r="S133" s="1155"/>
      <c r="T133" s="1155"/>
      <c r="U133" s="540"/>
      <c r="V133" s="1155"/>
      <c r="W133" s="1155"/>
      <c r="X133" s="1155"/>
      <c r="Y133" s="1155"/>
      <c r="Z133" s="1155"/>
      <c r="AA133" s="1657"/>
      <c r="AB133" s="562"/>
      <c r="AC133" s="562"/>
      <c r="AD133" s="562"/>
      <c r="AE133" s="562"/>
    </row>
    <row s="1666" customFormat="1" customHeight="1" ht="11.25">
      <c r="A134" s="982"/>
      <c r="B134" s="1661"/>
      <c r="C134" s="1661"/>
      <c r="D134" s="339"/>
      <c r="K134" s="1155"/>
      <c r="L134" s="1661"/>
      <c r="M134" s="1661"/>
      <c r="N134" s="1155"/>
      <c r="O134" s="1155"/>
      <c r="P134" s="1155"/>
      <c r="Q134" s="1155"/>
      <c r="R134" s="1661"/>
      <c r="S134" s="1155"/>
      <c r="T134" s="1155"/>
      <c r="U134" s="540"/>
      <c r="V134" s="1155"/>
      <c r="W134" s="1155"/>
      <c r="X134" s="1155"/>
      <c r="Y134" s="1155"/>
      <c r="Z134" s="1155"/>
      <c r="AA134" s="1657"/>
      <c r="AB134" s="562"/>
      <c r="AC134" s="562"/>
      <c r="AD134" s="562"/>
      <c r="AE134" s="562"/>
    </row>
    <row s="1666" customFormat="1" customHeight="1" ht="11.25">
      <c r="A135" s="982"/>
      <c r="B135" s="1661"/>
      <c r="C135" s="1661"/>
      <c r="D135" s="339"/>
      <c r="K135" s="1155"/>
      <c r="L135" s="1661"/>
      <c r="M135" s="1661"/>
      <c r="N135" s="1155"/>
      <c r="O135" s="1155"/>
      <c r="P135" s="1155"/>
      <c r="Q135" s="1155"/>
      <c r="R135" s="1661"/>
      <c r="S135" s="1155"/>
      <c r="T135" s="1155"/>
      <c r="U135" s="540"/>
      <c r="V135" s="1155"/>
      <c r="W135" s="1155"/>
      <c r="X135" s="1155"/>
      <c r="Y135" s="1155"/>
      <c r="Z135" s="1155"/>
      <c r="AA135" s="1657"/>
      <c r="AB135" s="562"/>
      <c r="AC135" s="562"/>
      <c r="AD135" s="562"/>
      <c r="AE135" s="562"/>
    </row>
    <row s="1666" customFormat="1" customHeight="1" ht="11.25">
      <c r="A136" s="982"/>
      <c r="B136" s="1661"/>
      <c r="C136" s="1661"/>
      <c r="D136" s="339"/>
      <c r="K136" s="1155"/>
      <c r="L136" s="1661"/>
      <c r="M136" s="1661"/>
      <c r="N136" s="1155"/>
      <c r="O136" s="1155"/>
      <c r="P136" s="1155"/>
      <c r="Q136" s="1155"/>
      <c r="R136" s="1661"/>
      <c r="S136" s="1155"/>
      <c r="T136" s="1155"/>
      <c r="U136" s="540"/>
      <c r="V136" s="1155"/>
      <c r="W136" s="1155"/>
      <c r="X136" s="1155"/>
      <c r="Y136" s="1155"/>
      <c r="Z136" s="1155"/>
      <c r="AA136" s="1657"/>
      <c r="AB136" s="562"/>
      <c r="AC136" s="562"/>
      <c r="AD136" s="562"/>
      <c r="AE136" s="562"/>
    </row>
    <row s="1666" customFormat="1" customHeight="1" ht="11.25">
      <c r="A137" s="982"/>
      <c r="B137" s="1661"/>
      <c r="C137" s="1661"/>
      <c r="D137" s="339"/>
      <c r="K137" s="1155"/>
      <c r="L137" s="1661"/>
      <c r="M137" s="1661"/>
      <c r="N137" s="1155"/>
      <c r="O137" s="1155"/>
      <c r="P137" s="1155"/>
      <c r="Q137" s="1155"/>
      <c r="R137" s="1661"/>
      <c r="S137" s="1155"/>
      <c r="T137" s="1155"/>
      <c r="U137" s="540"/>
      <c r="V137" s="1155"/>
      <c r="W137" s="1155"/>
      <c r="X137" s="1155"/>
      <c r="Y137" s="1155"/>
      <c r="Z137" s="1155"/>
      <c r="AA137" s="1657"/>
      <c r="AB137" s="562"/>
      <c r="AC137" s="562"/>
      <c r="AD137" s="562"/>
      <c r="AE137" s="562"/>
    </row>
    <row s="1666" customFormat="1" customHeight="1" ht="11.25">
      <c r="A138" s="982"/>
      <c r="B138" s="1661"/>
      <c r="C138" s="1661"/>
      <c r="D138" s="339"/>
      <c r="K138" s="1155"/>
      <c r="L138" s="1661"/>
      <c r="M138" s="1661"/>
      <c r="N138" s="1155"/>
      <c r="O138" s="1155"/>
      <c r="P138" s="1155"/>
      <c r="Q138" s="1155"/>
      <c r="R138" s="1661"/>
      <c r="S138" s="1155"/>
      <c r="T138" s="1155"/>
      <c r="U138" s="540"/>
      <c r="V138" s="1155"/>
      <c r="W138" s="1155"/>
      <c r="X138" s="1155"/>
      <c r="Y138" s="1155"/>
      <c r="Z138" s="1155"/>
      <c r="AA138" s="1657"/>
      <c r="AB138" s="562"/>
      <c r="AC138" s="562"/>
      <c r="AD138" s="562"/>
      <c r="AE138" s="562"/>
    </row>
    <row s="1666" customFormat="1" customHeight="1" ht="11.25">
      <c r="A139" s="982"/>
      <c r="B139" s="1661"/>
      <c r="C139" s="1661"/>
      <c r="D139" s="339"/>
      <c r="K139" s="1155"/>
      <c r="L139" s="1661"/>
      <c r="M139" s="1661"/>
      <c r="N139" s="1155"/>
      <c r="O139" s="1155"/>
      <c r="P139" s="1155"/>
      <c r="Q139" s="1155"/>
      <c r="R139" s="1661"/>
      <c r="S139" s="1155"/>
      <c r="T139" s="1155"/>
      <c r="U139" s="540"/>
      <c r="V139" s="1155"/>
      <c r="W139" s="1155"/>
      <c r="X139" s="1155"/>
      <c r="Y139" s="1155"/>
      <c r="Z139" s="1155"/>
      <c r="AA139" s="1657"/>
      <c r="AB139" s="562"/>
      <c r="AC139" s="562"/>
      <c r="AD139" s="562"/>
      <c r="AE139" s="562"/>
    </row>
    <row s="1666" customFormat="1" customHeight="1" ht="11.25">
      <c r="A140" s="982"/>
      <c r="B140" s="1661"/>
      <c r="C140" s="1661"/>
      <c r="D140" s="339"/>
      <c r="K140" s="1155"/>
      <c r="L140" s="1661"/>
      <c r="M140" s="1661"/>
      <c r="N140" s="1155"/>
      <c r="O140" s="1155"/>
      <c r="P140" s="1155"/>
      <c r="Q140" s="1155"/>
      <c r="R140" s="1661"/>
      <c r="S140" s="1155"/>
      <c r="T140" s="1155"/>
      <c r="U140" s="540"/>
      <c r="V140" s="1155"/>
      <c r="W140" s="1155"/>
      <c r="X140" s="1155"/>
      <c r="Y140" s="1155"/>
      <c r="Z140" s="1155"/>
      <c r="AA140" s="1657"/>
      <c r="AB140" s="562"/>
      <c r="AC140" s="562"/>
      <c r="AD140" s="562"/>
      <c r="AE140" s="562"/>
    </row>
    <row s="1666" customFormat="1" customHeight="1" ht="11.25">
      <c r="A141" s="982"/>
      <c r="B141" s="1661"/>
      <c r="C141" s="1661"/>
      <c r="D141" s="339"/>
      <c r="K141" s="1155"/>
      <c r="L141" s="1661"/>
      <c r="M141" s="1661"/>
      <c r="N141" s="1155"/>
      <c r="O141" s="1155"/>
      <c r="P141" s="1155"/>
      <c r="Q141" s="1155"/>
      <c r="R141" s="1661"/>
      <c r="S141" s="1155"/>
      <c r="T141" s="1155"/>
      <c r="U141" s="540"/>
      <c r="V141" s="1155"/>
      <c r="W141" s="1155"/>
      <c r="X141" s="1155"/>
      <c r="Y141" s="1155"/>
      <c r="Z141" s="1155"/>
      <c r="AA141" s="1657"/>
      <c r="AB141" s="562"/>
      <c r="AC141" s="562"/>
      <c r="AD141" s="562"/>
      <c r="AE141" s="562"/>
    </row>
    <row s="1666" customFormat="1" customHeight="1" ht="11.25">
      <c r="A142" s="982"/>
      <c r="B142" s="1661"/>
      <c r="C142" s="1661"/>
      <c r="D142" s="339"/>
      <c r="K142" s="1155"/>
      <c r="L142" s="1661"/>
      <c r="M142" s="1661"/>
      <c r="N142" s="1155"/>
      <c r="O142" s="1155"/>
      <c r="P142" s="1155"/>
      <c r="Q142" s="1155"/>
      <c r="R142" s="1661"/>
      <c r="S142" s="1155"/>
      <c r="T142" s="1155"/>
      <c r="U142" s="540"/>
      <c r="V142" s="1155"/>
      <c r="W142" s="1155"/>
      <c r="X142" s="1155"/>
      <c r="Y142" s="1155"/>
      <c r="Z142" s="1155"/>
      <c r="AA142" s="1657"/>
      <c r="AB142" s="562"/>
      <c r="AC142" s="562"/>
      <c r="AD142" s="562"/>
      <c r="AE142" s="562"/>
    </row>
    <row s="1666" customFormat="1" customHeight="1" ht="11.25">
      <c r="A143" s="982"/>
      <c r="B143" s="1661"/>
      <c r="C143" s="1661"/>
      <c r="D143" s="339"/>
      <c r="K143" s="1155"/>
      <c r="L143" s="1661"/>
      <c r="M143" s="1661"/>
      <c r="N143" s="1155"/>
      <c r="O143" s="1155"/>
      <c r="P143" s="1155"/>
      <c r="Q143" s="1155"/>
      <c r="R143" s="1661"/>
      <c r="S143" s="1155"/>
      <c r="T143" s="1155"/>
      <c r="U143" s="540"/>
      <c r="V143" s="1155"/>
      <c r="W143" s="1155"/>
      <c r="X143" s="1155"/>
      <c r="Y143" s="1155"/>
      <c r="Z143" s="1155"/>
      <c r="AA143" s="1657"/>
      <c r="AB143" s="562"/>
      <c r="AC143" s="562"/>
      <c r="AD143" s="562"/>
      <c r="AE143" s="562"/>
    </row>
    <row s="1666" customFormat="1" customHeight="1" ht="11.25">
      <c r="A144" s="982"/>
      <c r="B144" s="1661"/>
      <c r="C144" s="1661"/>
      <c r="D144" s="339"/>
      <c r="K144" s="1155"/>
      <c r="L144" s="1661"/>
      <c r="M144" s="1661"/>
      <c r="N144" s="1155"/>
      <c r="O144" s="1155"/>
      <c r="P144" s="1155"/>
      <c r="Q144" s="1155"/>
      <c r="R144" s="1661"/>
      <c r="S144" s="1155"/>
      <c r="T144" s="1155"/>
      <c r="U144" s="540"/>
      <c r="V144" s="1155"/>
      <c r="W144" s="1155"/>
      <c r="X144" s="1155"/>
      <c r="Y144" s="1155"/>
      <c r="Z144" s="1155"/>
      <c r="AA144" s="1657"/>
      <c r="AB144" s="562"/>
      <c r="AC144" s="562"/>
      <c r="AD144" s="562"/>
      <c r="AE144" s="562"/>
    </row>
    <row s="1666" customFormat="1" customHeight="1" ht="11.25">
      <c r="A145" s="982"/>
      <c r="B145" s="1661"/>
      <c r="C145" s="1661"/>
      <c r="D145" s="339"/>
      <c r="K145" s="1155"/>
      <c r="L145" s="1661"/>
      <c r="M145" s="1661"/>
      <c r="N145" s="1155"/>
      <c r="O145" s="1155"/>
      <c r="P145" s="1155"/>
      <c r="Q145" s="1155"/>
      <c r="R145" s="1661"/>
      <c r="S145" s="1155"/>
      <c r="T145" s="1155"/>
      <c r="U145" s="540"/>
      <c r="V145" s="1155"/>
      <c r="W145" s="1155"/>
      <c r="X145" s="1155"/>
      <c r="Y145" s="1155"/>
      <c r="Z145" s="1155"/>
      <c r="AA145" s="1657"/>
      <c r="AB145" s="562"/>
      <c r="AC145" s="562"/>
      <c r="AD145" s="562"/>
      <c r="AE145" s="562"/>
    </row>
    <row s="1666" customFormat="1" customHeight="1" ht="11.25">
      <c r="A146" s="982"/>
      <c r="B146" s="1661"/>
      <c r="C146" s="1661"/>
      <c r="D146" s="339"/>
      <c r="K146" s="1155"/>
      <c r="L146" s="1661"/>
      <c r="M146" s="1661"/>
      <c r="N146" s="1155"/>
      <c r="O146" s="1155"/>
      <c r="P146" s="1155"/>
      <c r="Q146" s="1155"/>
      <c r="R146" s="1661"/>
      <c r="S146" s="1155"/>
      <c r="T146" s="1155"/>
      <c r="U146" s="540"/>
      <c r="V146" s="1155"/>
      <c r="W146" s="1155"/>
      <c r="X146" s="1155"/>
      <c r="Y146" s="1155"/>
      <c r="Z146" s="1155"/>
      <c r="AA146" s="1657"/>
      <c r="AB146" s="562"/>
      <c r="AC146" s="562"/>
      <c r="AD146" s="562"/>
      <c r="AE146" s="562"/>
    </row>
    <row s="1666" customFormat="1" customHeight="1" ht="11.25">
      <c r="A147" s="982"/>
      <c r="B147" s="1661"/>
      <c r="C147" s="1661"/>
      <c r="D147" s="339"/>
      <c r="K147" s="1155"/>
      <c r="L147" s="1661"/>
      <c r="M147" s="1661"/>
      <c r="N147" s="1155"/>
      <c r="O147" s="1155"/>
      <c r="P147" s="1155"/>
      <c r="Q147" s="1155"/>
      <c r="R147" s="1661"/>
      <c r="S147" s="1155"/>
      <c r="T147" s="1155"/>
      <c r="U147" s="540"/>
      <c r="V147" s="1155"/>
      <c r="W147" s="1155"/>
      <c r="X147" s="1155"/>
      <c r="Y147" s="1155"/>
      <c r="Z147" s="1155"/>
      <c r="AA147" s="1657"/>
      <c r="AB147" s="562"/>
      <c r="AC147" s="562"/>
      <c r="AD147" s="562"/>
      <c r="AE147" s="562"/>
    </row>
    <row s="1666" customFormat="1" customHeight="1" ht="11.25">
      <c r="A148" s="982"/>
      <c r="B148" s="1661"/>
      <c r="C148" s="1661"/>
      <c r="D148" s="339"/>
      <c r="K148" s="1155"/>
      <c r="L148" s="1661"/>
      <c r="M148" s="1661"/>
      <c r="N148" s="1155"/>
      <c r="O148" s="1155"/>
      <c r="P148" s="1155"/>
      <c r="Q148" s="1155"/>
      <c r="R148" s="1661"/>
      <c r="S148" s="1155"/>
      <c r="T148" s="1155"/>
      <c r="U148" s="540"/>
      <c r="V148" s="1155"/>
      <c r="W148" s="1155"/>
      <c r="X148" s="1155"/>
      <c r="Y148" s="1155"/>
      <c r="Z148" s="1155"/>
      <c r="AA148" s="1657"/>
      <c r="AB148" s="562"/>
      <c r="AC148" s="562"/>
      <c r="AD148" s="562"/>
      <c r="AE148" s="562"/>
    </row>
    <row s="1666" customFormat="1" customHeight="1" ht="11.25">
      <c r="A149" s="982"/>
      <c r="B149" s="1661"/>
      <c r="C149" s="1661"/>
      <c r="D149" s="339"/>
      <c r="K149" s="1155"/>
      <c r="L149" s="1661"/>
      <c r="M149" s="1661"/>
      <c r="N149" s="1155"/>
      <c r="O149" s="1155"/>
      <c r="P149" s="1155"/>
      <c r="Q149" s="1155"/>
      <c r="R149" s="1661"/>
      <c r="S149" s="1155"/>
      <c r="T149" s="1155"/>
      <c r="U149" s="540"/>
      <c r="V149" s="1155"/>
      <c r="W149" s="1155"/>
      <c r="X149" s="1155"/>
      <c r="Y149" s="1155"/>
      <c r="Z149" s="1155"/>
      <c r="AA149" s="1657"/>
      <c r="AB149" s="562"/>
      <c r="AC149" s="562"/>
      <c r="AD149" s="562"/>
      <c r="AE149" s="562"/>
    </row>
    <row s="1666" customFormat="1" customHeight="1" ht="11.25">
      <c r="A150" s="982"/>
      <c r="B150" s="1661"/>
      <c r="C150" s="1661"/>
      <c r="D150" s="339"/>
      <c r="K150" s="1155"/>
      <c r="L150" s="1661"/>
      <c r="M150" s="1661"/>
      <c r="N150" s="1155"/>
      <c r="O150" s="1155"/>
      <c r="P150" s="1155"/>
      <c r="Q150" s="1155"/>
      <c r="R150" s="1661"/>
      <c r="S150" s="1155"/>
      <c r="T150" s="1155"/>
      <c r="U150" s="540"/>
      <c r="V150" s="1155"/>
      <c r="W150" s="1155"/>
      <c r="X150" s="1155"/>
      <c r="Y150" s="1155"/>
      <c r="Z150" s="1155"/>
      <c r="AA150" s="1657"/>
      <c r="AB150" s="562"/>
      <c r="AC150" s="562"/>
      <c r="AD150" s="562"/>
      <c r="AE150" s="562"/>
    </row>
    <row s="1666" customFormat="1" customHeight="1" ht="11.25">
      <c r="A151" s="982"/>
      <c r="B151" s="1661"/>
      <c r="C151" s="1661"/>
      <c r="D151" s="339"/>
      <c r="K151" s="1155"/>
      <c r="L151" s="1661"/>
      <c r="M151" s="1661"/>
      <c r="N151" s="1155"/>
      <c r="O151" s="1155"/>
      <c r="P151" s="1155"/>
      <c r="Q151" s="1155"/>
      <c r="R151" s="1661"/>
      <c r="S151" s="1155"/>
      <c r="T151" s="1155"/>
      <c r="U151" s="540"/>
      <c r="V151" s="1155"/>
      <c r="W151" s="1155"/>
      <c r="X151" s="1155"/>
      <c r="Y151" s="1155"/>
      <c r="Z151" s="1155"/>
      <c r="AA151" s="1657"/>
      <c r="AB151" s="562"/>
      <c r="AC151" s="562"/>
      <c r="AD151" s="562"/>
      <c r="AE151" s="562"/>
    </row>
    <row s="1666" customFormat="1" customHeight="1" ht="11.25">
      <c r="A152" s="982"/>
      <c r="B152" s="1661"/>
      <c r="C152" s="1661"/>
      <c r="D152" s="339"/>
      <c r="K152" s="1155"/>
      <c r="L152" s="1661"/>
      <c r="M152" s="1661"/>
      <c r="N152" s="1155"/>
      <c r="O152" s="1155"/>
      <c r="P152" s="1155"/>
      <c r="Q152" s="1155"/>
      <c r="R152" s="1661"/>
      <c r="S152" s="1155"/>
      <c r="T152" s="1155"/>
      <c r="U152" s="540"/>
      <c r="V152" s="1155"/>
      <c r="W152" s="1155"/>
      <c r="X152" s="1155"/>
      <c r="Y152" s="1155"/>
      <c r="Z152" s="1155"/>
      <c r="AA152" s="1657"/>
      <c r="AB152" s="562"/>
      <c r="AC152" s="562"/>
      <c r="AD152" s="562"/>
      <c r="AE152" s="562"/>
    </row>
    <row s="1666" customFormat="1" customHeight="1" ht="11.25">
      <c r="A153" s="982"/>
      <c r="B153" s="1661"/>
      <c r="C153" s="1661"/>
      <c r="D153" s="339"/>
      <c r="K153" s="1155"/>
      <c r="L153" s="1661"/>
      <c r="M153" s="1661"/>
      <c r="N153" s="1155"/>
      <c r="O153" s="1155"/>
      <c r="P153" s="1155"/>
      <c r="Q153" s="1155"/>
      <c r="R153" s="1661"/>
      <c r="S153" s="1155"/>
      <c r="T153" s="1155"/>
      <c r="U153" s="540"/>
      <c r="V153" s="1155"/>
      <c r="W153" s="1155"/>
      <c r="X153" s="1155"/>
      <c r="Y153" s="1155"/>
      <c r="Z153" s="1155"/>
      <c r="AA153" s="1657"/>
      <c r="AB153" s="562"/>
      <c r="AC153" s="562"/>
      <c r="AD153" s="562"/>
      <c r="AE153" s="562"/>
    </row>
    <row s="1666" customFormat="1" customHeight="1" ht="11.25">
      <c r="A154" s="982"/>
      <c r="B154" s="1661"/>
      <c r="C154" s="1661"/>
      <c r="D154" s="339"/>
      <c r="K154" s="1155"/>
      <c r="L154" s="1661"/>
      <c r="M154" s="1661"/>
      <c r="N154" s="1155"/>
      <c r="O154" s="1155"/>
      <c r="P154" s="1155"/>
      <c r="Q154" s="1155"/>
      <c r="R154" s="1661"/>
      <c r="S154" s="1155"/>
      <c r="T154" s="1155"/>
      <c r="U154" s="540"/>
      <c r="V154" s="1155"/>
      <c r="W154" s="1155"/>
      <c r="X154" s="1155"/>
      <c r="Y154" s="1155"/>
      <c r="Z154" s="1155"/>
      <c r="AA154" s="1657"/>
      <c r="AB154" s="562"/>
      <c r="AC154" s="562"/>
      <c r="AD154" s="562"/>
      <c r="AE154" s="562"/>
    </row>
    <row s="1666" customFormat="1" customHeight="1" ht="11.25">
      <c r="A155" s="982"/>
      <c r="B155" s="1661"/>
      <c r="C155" s="1661"/>
      <c r="D155" s="339"/>
      <c r="K155" s="1155"/>
      <c r="L155" s="1661"/>
      <c r="M155" s="1661"/>
      <c r="N155" s="1155"/>
      <c r="O155" s="1155"/>
      <c r="P155" s="1155"/>
      <c r="Q155" s="1155"/>
      <c r="R155" s="1661"/>
      <c r="S155" s="1155"/>
      <c r="T155" s="1155"/>
      <c r="U155" s="540"/>
      <c r="V155" s="1155"/>
      <c r="W155" s="1155"/>
      <c r="X155" s="1155"/>
      <c r="Y155" s="1155"/>
      <c r="Z155" s="1155"/>
      <c r="AA155" s="1657"/>
      <c r="AB155" s="562"/>
      <c r="AC155" s="562"/>
      <c r="AD155" s="562"/>
      <c r="AE155" s="562"/>
    </row>
    <row s="1666" customFormat="1" customHeight="1" ht="11.25">
      <c r="A156" s="982"/>
      <c r="B156" s="1661"/>
      <c r="C156" s="1661"/>
      <c r="D156" s="339"/>
      <c r="K156" s="1155"/>
      <c r="L156" s="1661"/>
      <c r="M156" s="1661"/>
      <c r="N156" s="1155"/>
      <c r="O156" s="1155"/>
      <c r="P156" s="1155"/>
      <c r="Q156" s="1155"/>
      <c r="R156" s="1661"/>
      <c r="S156" s="1155"/>
      <c r="T156" s="1155"/>
      <c r="U156" s="540"/>
      <c r="V156" s="1155"/>
      <c r="W156" s="1155"/>
      <c r="X156" s="1155"/>
      <c r="Y156" s="1155"/>
      <c r="Z156" s="1155"/>
      <c r="AA156" s="1657"/>
      <c r="AB156" s="562"/>
      <c r="AC156" s="562"/>
      <c r="AD156" s="562"/>
      <c r="AE156" s="562"/>
    </row>
    <row s="1666" customFormat="1" customHeight="1" ht="11.25">
      <c r="A157" s="982"/>
      <c r="B157" s="1661"/>
      <c r="C157" s="1661"/>
      <c r="D157" s="339"/>
      <c r="K157" s="1155"/>
      <c r="L157" s="1661"/>
      <c r="M157" s="1661"/>
      <c r="N157" s="1155"/>
      <c r="O157" s="1155"/>
      <c r="P157" s="1155"/>
      <c r="Q157" s="1155"/>
      <c r="R157" s="1661"/>
      <c r="S157" s="1155"/>
      <c r="T157" s="1155"/>
      <c r="U157" s="540"/>
      <c r="V157" s="1155"/>
      <c r="W157" s="1155"/>
      <c r="X157" s="1155"/>
      <c r="Y157" s="1155"/>
      <c r="Z157" s="1155"/>
      <c r="AA157" s="1657"/>
      <c r="AB157" s="562"/>
      <c r="AC157" s="562"/>
      <c r="AD157" s="562"/>
      <c r="AE157" s="562"/>
    </row>
    <row s="1666" customFormat="1" customHeight="1" ht="11.25">
      <c r="A158" s="982"/>
      <c r="B158" s="1661"/>
      <c r="C158" s="1661"/>
      <c r="D158" s="339"/>
      <c r="K158" s="1155"/>
      <c r="L158" s="1661"/>
      <c r="M158" s="1661"/>
      <c r="N158" s="1155"/>
      <c r="O158" s="1155"/>
      <c r="P158" s="1155"/>
      <c r="Q158" s="1155"/>
      <c r="R158" s="1661"/>
      <c r="S158" s="1155"/>
      <c r="T158" s="1155"/>
      <c r="U158" s="540"/>
      <c r="V158" s="1155"/>
      <c r="W158" s="1155"/>
      <c r="X158" s="1155"/>
      <c r="Y158" s="1155"/>
      <c r="Z158" s="1155"/>
      <c r="AA158" s="1657"/>
      <c r="AB158" s="562"/>
      <c r="AC158" s="562"/>
      <c r="AD158" s="562"/>
      <c r="AE158" s="562"/>
    </row>
    <row s="1666" customFormat="1" customHeight="1" ht="11.25">
      <c r="A159" s="982"/>
      <c r="B159" s="1661"/>
      <c r="C159" s="1661"/>
      <c r="D159" s="339"/>
      <c r="K159" s="1155"/>
      <c r="L159" s="1661"/>
      <c r="M159" s="1661"/>
      <c r="N159" s="1155"/>
      <c r="O159" s="1155"/>
      <c r="P159" s="1155"/>
      <c r="Q159" s="1155"/>
      <c r="R159" s="1661"/>
      <c r="S159" s="1155"/>
      <c r="T159" s="1155"/>
      <c r="U159" s="540"/>
      <c r="V159" s="1155"/>
      <c r="W159" s="1155"/>
      <c r="X159" s="1155"/>
      <c r="Y159" s="1155"/>
      <c r="Z159" s="1155"/>
      <c r="AA159" s="1657"/>
      <c r="AB159" s="562"/>
      <c r="AC159" s="562"/>
      <c r="AD159" s="562"/>
      <c r="AE159" s="562"/>
    </row>
    <row s="1666" customFormat="1" customHeight="1" ht="11.25">
      <c r="A160" s="982"/>
      <c r="B160" s="1661"/>
      <c r="C160" s="1661"/>
      <c r="D160" s="339"/>
      <c r="K160" s="1155"/>
      <c r="L160" s="1661"/>
      <c r="M160" s="1661"/>
      <c r="N160" s="1155"/>
      <c r="O160" s="1155"/>
      <c r="P160" s="1155"/>
      <c r="Q160" s="1155"/>
      <c r="R160" s="1661"/>
      <c r="S160" s="1155"/>
      <c r="T160" s="1155"/>
      <c r="U160" s="540"/>
      <c r="V160" s="1155"/>
      <c r="W160" s="1155"/>
      <c r="X160" s="1155"/>
      <c r="Y160" s="1155"/>
      <c r="Z160" s="1155"/>
      <c r="AA160" s="1657"/>
      <c r="AB160" s="562"/>
      <c r="AC160" s="562"/>
      <c r="AD160" s="562"/>
      <c r="AE160" s="562"/>
    </row>
    <row s="1666" customFormat="1" customHeight="1" ht="11.25">
      <c r="A161" s="982"/>
      <c r="B161" s="1661"/>
      <c r="C161" s="1661"/>
      <c r="D161" s="339"/>
      <c r="K161" s="1155"/>
      <c r="L161" s="1661"/>
      <c r="M161" s="1661"/>
      <c r="N161" s="1155"/>
      <c r="O161" s="1155"/>
      <c r="P161" s="1155"/>
      <c r="Q161" s="1155"/>
      <c r="R161" s="1661"/>
      <c r="S161" s="1155"/>
      <c r="T161" s="1155"/>
      <c r="U161" s="540"/>
      <c r="V161" s="1155"/>
      <c r="W161" s="1155"/>
      <c r="X161" s="1155"/>
      <c r="Y161" s="1155"/>
      <c r="Z161" s="1155"/>
      <c r="AA161" s="1657"/>
      <c r="AB161" s="562"/>
      <c r="AC161" s="562"/>
      <c r="AD161" s="562"/>
      <c r="AE161" s="562"/>
    </row>
    <row s="1666" customFormat="1" customHeight="1" ht="11.25">
      <c r="A162" s="982"/>
      <c r="B162" s="1661"/>
      <c r="C162" s="1661"/>
      <c r="D162" s="339"/>
      <c r="K162" s="1155"/>
      <c r="L162" s="1661"/>
      <c r="M162" s="1661"/>
      <c r="N162" s="1155"/>
      <c r="O162" s="1155"/>
      <c r="P162" s="1155"/>
      <c r="Q162" s="1155"/>
      <c r="R162" s="1661"/>
      <c r="S162" s="1155"/>
      <c r="T162" s="1155"/>
      <c r="U162" s="540"/>
      <c r="V162" s="1155"/>
      <c r="W162" s="1155"/>
      <c r="X162" s="1155"/>
      <c r="Y162" s="1155"/>
      <c r="Z162" s="1155"/>
      <c r="AA162" s="1657"/>
      <c r="AB162" s="562"/>
      <c r="AC162" s="562"/>
      <c r="AD162" s="562"/>
      <c r="AE162" s="562"/>
    </row>
    <row s="1666" customFormat="1" customHeight="1" ht="11.25">
      <c r="A163" s="982"/>
      <c r="B163" s="1661"/>
      <c r="C163" s="1661"/>
      <c r="D163" s="339"/>
      <c r="K163" s="1155"/>
      <c r="L163" s="1661"/>
      <c r="M163" s="1661"/>
      <c r="N163" s="1155"/>
      <c r="O163" s="1155"/>
      <c r="P163" s="1155"/>
      <c r="Q163" s="1155"/>
      <c r="R163" s="1661"/>
      <c r="S163" s="1155"/>
      <c r="T163" s="1155"/>
      <c r="U163" s="540"/>
      <c r="V163" s="1155"/>
      <c r="W163" s="1155"/>
      <c r="X163" s="1155"/>
      <c r="Y163" s="1155"/>
      <c r="Z163" s="1155"/>
      <c r="AA163" s="1657"/>
      <c r="AB163" s="562"/>
      <c r="AC163" s="562"/>
      <c r="AD163" s="562"/>
      <c r="AE163" s="562"/>
    </row>
    <row s="1666" customFormat="1" customHeight="1" ht="11.25">
      <c r="A164" s="982"/>
      <c r="B164" s="1661"/>
      <c r="C164" s="1661"/>
      <c r="D164" s="339"/>
      <c r="K164" s="1155"/>
      <c r="L164" s="1661"/>
      <c r="M164" s="1661"/>
      <c r="N164" s="1155"/>
      <c r="O164" s="1155"/>
      <c r="P164" s="1155"/>
      <c r="Q164" s="1155"/>
      <c r="R164" s="1661"/>
      <c r="S164" s="1155"/>
      <c r="T164" s="1155"/>
      <c r="U164" s="540"/>
      <c r="V164" s="1155"/>
      <c r="W164" s="1155"/>
      <c r="X164" s="1155"/>
      <c r="Y164" s="1155"/>
      <c r="Z164" s="1155"/>
      <c r="AA164" s="1657"/>
      <c r="AB164" s="562"/>
      <c r="AC164" s="562"/>
      <c r="AD164" s="562"/>
      <c r="AE164" s="562"/>
    </row>
    <row s="1666" customFormat="1" customHeight="1" ht="11.25">
      <c r="A165" s="982"/>
      <c r="B165" s="1661"/>
      <c r="C165" s="1661"/>
      <c r="D165" s="339"/>
      <c r="K165" s="1155"/>
      <c r="L165" s="1661"/>
      <c r="M165" s="1661"/>
      <c r="N165" s="1155"/>
      <c r="O165" s="1155"/>
      <c r="P165" s="1155"/>
      <c r="Q165" s="1155"/>
      <c r="R165" s="1661"/>
      <c r="S165" s="1155"/>
      <c r="T165" s="1155"/>
      <c r="U165" s="540"/>
      <c r="V165" s="1155"/>
      <c r="W165" s="1155"/>
      <c r="X165" s="1155"/>
      <c r="Y165" s="1155"/>
      <c r="Z165" s="1155"/>
      <c r="AA165" s="1657"/>
      <c r="AB165" s="562"/>
      <c r="AC165" s="562"/>
      <c r="AD165" s="562"/>
      <c r="AE165" s="562"/>
    </row>
    <row s="1666" customFormat="1" customHeight="1" ht="11.25">
      <c r="A166" s="982"/>
      <c r="B166" s="1661"/>
      <c r="C166" s="1661"/>
      <c r="D166" s="339"/>
      <c r="K166" s="1155"/>
      <c r="L166" s="1661"/>
      <c r="M166" s="1661"/>
      <c r="N166" s="1155"/>
      <c r="O166" s="1155"/>
      <c r="P166" s="1155"/>
      <c r="Q166" s="1155"/>
      <c r="R166" s="1661"/>
      <c r="S166" s="1155"/>
      <c r="T166" s="1155"/>
      <c r="U166" s="540"/>
      <c r="V166" s="1155"/>
      <c r="W166" s="1155"/>
      <c r="X166" s="1155"/>
      <c r="Y166" s="1155"/>
      <c r="Z166" s="1155"/>
      <c r="AA166" s="1657"/>
      <c r="AB166" s="562"/>
      <c r="AC166" s="562"/>
      <c r="AD166" s="562"/>
      <c r="AE166" s="562"/>
    </row>
    <row s="1666" customFormat="1" customHeight="1" ht="11.25">
      <c r="A167" s="982"/>
      <c r="B167" s="1661"/>
      <c r="C167" s="1661"/>
      <c r="D167" s="339"/>
      <c r="K167" s="1155"/>
      <c r="L167" s="1661"/>
      <c r="M167" s="1661"/>
      <c r="N167" s="1155"/>
      <c r="O167" s="1155"/>
      <c r="P167" s="1155"/>
      <c r="Q167" s="1155"/>
      <c r="R167" s="1661"/>
      <c r="S167" s="1155"/>
      <c r="T167" s="1155"/>
      <c r="U167" s="540"/>
      <c r="V167" s="1155"/>
      <c r="W167" s="1155"/>
      <c r="X167" s="1155"/>
      <c r="Y167" s="1155"/>
      <c r="Z167" s="1155"/>
      <c r="AA167" s="1657"/>
      <c r="AB167" s="562"/>
      <c r="AC167" s="562"/>
      <c r="AD167" s="562"/>
      <c r="AE167" s="562"/>
    </row>
    <row s="1666" customFormat="1" customHeight="1" ht="11.25">
      <c r="A168" s="982"/>
      <c r="B168" s="1661"/>
      <c r="C168" s="1661"/>
      <c r="D168" s="339"/>
      <c r="K168" s="1155"/>
      <c r="L168" s="1661"/>
      <c r="M168" s="1661"/>
      <c r="N168" s="1155"/>
      <c r="O168" s="1155"/>
      <c r="P168" s="1155"/>
      <c r="Q168" s="1155"/>
      <c r="R168" s="1661"/>
      <c r="S168" s="1155"/>
      <c r="T168" s="1155"/>
      <c r="U168" s="540"/>
      <c r="V168" s="1155"/>
      <c r="W168" s="1155"/>
      <c r="X168" s="1155"/>
      <c r="Y168" s="1155"/>
      <c r="Z168" s="1155"/>
      <c r="AA168" s="1657"/>
      <c r="AB168" s="562"/>
      <c r="AC168" s="562"/>
      <c r="AD168" s="562"/>
      <c r="AE168" s="562"/>
    </row>
    <row s="1666" customFormat="1" customHeight="1" ht="11.25">
      <c r="A169" s="982"/>
      <c r="B169" s="1661"/>
      <c r="C169" s="1661"/>
      <c r="D169" s="339"/>
      <c r="K169" s="1155"/>
      <c r="L169" s="1661"/>
      <c r="M169" s="1661"/>
      <c r="N169" s="1155"/>
      <c r="O169" s="1155"/>
      <c r="P169" s="1155"/>
      <c r="Q169" s="1155"/>
      <c r="R169" s="1661"/>
      <c r="S169" s="1155"/>
      <c r="T169" s="1155"/>
      <c r="U169" s="540"/>
      <c r="V169" s="1155"/>
      <c r="W169" s="1155"/>
      <c r="X169" s="1155"/>
      <c r="Y169" s="1155"/>
      <c r="Z169" s="1155"/>
      <c r="AA169" s="1657"/>
      <c r="AB169" s="562"/>
      <c r="AC169" s="562"/>
      <c r="AD169" s="562"/>
      <c r="AE169" s="562"/>
    </row>
    <row s="1666" customFormat="1" customHeight="1" ht="11.25">
      <c r="A170" s="982"/>
      <c r="B170" s="1661"/>
      <c r="C170" s="1661"/>
      <c r="D170" s="339"/>
      <c r="K170" s="1155"/>
      <c r="L170" s="1661"/>
      <c r="M170" s="1661"/>
      <c r="N170" s="1155"/>
      <c r="O170" s="1155"/>
      <c r="P170" s="1155"/>
      <c r="Q170" s="1155"/>
      <c r="R170" s="1661"/>
      <c r="S170" s="1155"/>
      <c r="T170" s="1155"/>
      <c r="U170" s="540"/>
      <c r="V170" s="1155"/>
      <c r="W170" s="1155"/>
      <c r="X170" s="1155"/>
      <c r="Y170" s="1155"/>
      <c r="Z170" s="1155"/>
      <c r="AA170" s="1657"/>
      <c r="AB170" s="562"/>
      <c r="AC170" s="562"/>
      <c r="AD170" s="562"/>
      <c r="AE170" s="562"/>
    </row>
    <row s="1666" customFormat="1" customHeight="1" ht="11.25">
      <c r="A171" s="982"/>
      <c r="B171" s="1661"/>
      <c r="C171" s="1661"/>
      <c r="D171" s="339"/>
      <c r="K171" s="1155"/>
      <c r="L171" s="1661"/>
      <c r="M171" s="1661"/>
      <c r="N171" s="1155"/>
      <c r="O171" s="1155"/>
      <c r="P171" s="1155"/>
      <c r="Q171" s="1155"/>
      <c r="R171" s="1661"/>
      <c r="S171" s="1155"/>
      <c r="T171" s="1155"/>
      <c r="U171" s="540"/>
      <c r="V171" s="1155"/>
      <c r="W171" s="1155"/>
      <c r="X171" s="1155"/>
      <c r="Y171" s="1155"/>
      <c r="Z171" s="1155"/>
      <c r="AA171" s="1657"/>
      <c r="AB171" s="562"/>
      <c r="AC171" s="562"/>
      <c r="AD171" s="562"/>
      <c r="AE171" s="562"/>
    </row>
    <row s="1666" customFormat="1" customHeight="1" ht="11.25">
      <c r="A172" s="982"/>
      <c r="B172" s="1661"/>
      <c r="C172" s="1661"/>
      <c r="D172" s="339"/>
      <c r="K172" s="1155"/>
      <c r="L172" s="1661"/>
      <c r="M172" s="1661"/>
      <c r="N172" s="1155"/>
      <c r="O172" s="1155"/>
      <c r="P172" s="1155"/>
      <c r="Q172" s="1155"/>
      <c r="R172" s="1661"/>
      <c r="S172" s="1155"/>
      <c r="T172" s="1155"/>
      <c r="U172" s="540"/>
      <c r="V172" s="1155"/>
      <c r="W172" s="1155"/>
      <c r="X172" s="1155"/>
      <c r="Y172" s="1155"/>
      <c r="Z172" s="1155"/>
      <c r="AA172" s="1657"/>
      <c r="AB172" s="562"/>
      <c r="AC172" s="562"/>
      <c r="AD172" s="562"/>
      <c r="AE172" s="562"/>
    </row>
    <row s="1666" customFormat="1" customHeight="1" ht="11.25">
      <c r="A173" s="982"/>
      <c r="B173" s="1661"/>
      <c r="C173" s="1661"/>
      <c r="D173" s="339"/>
      <c r="K173" s="1155"/>
      <c r="L173" s="1661"/>
      <c r="M173" s="1661"/>
      <c r="N173" s="1155"/>
      <c r="O173" s="1155"/>
      <c r="P173" s="1155"/>
      <c r="Q173" s="1155"/>
      <c r="R173" s="1661"/>
      <c r="S173" s="1155"/>
      <c r="T173" s="1155"/>
      <c r="U173" s="540"/>
      <c r="V173" s="1155"/>
      <c r="W173" s="1155"/>
      <c r="X173" s="1155"/>
      <c r="Y173" s="1155"/>
      <c r="Z173" s="1155"/>
      <c r="AA173" s="1657"/>
      <c r="AB173" s="562"/>
      <c r="AC173" s="562"/>
      <c r="AD173" s="562"/>
      <c r="AE173" s="562"/>
    </row>
    <row s="1666" customFormat="1" customHeight="1" ht="11.25">
      <c r="A174" s="982"/>
      <c r="B174" s="1661"/>
      <c r="C174" s="1661"/>
      <c r="D174" s="339"/>
      <c r="K174" s="1155"/>
      <c r="L174" s="1661"/>
      <c r="M174" s="1661"/>
      <c r="N174" s="1155"/>
      <c r="O174" s="1155"/>
      <c r="P174" s="1155"/>
      <c r="Q174" s="1155"/>
      <c r="R174" s="1661"/>
      <c r="S174" s="1155"/>
      <c r="T174" s="1155"/>
      <c r="U174" s="540"/>
      <c r="V174" s="1155"/>
      <c r="W174" s="1155"/>
      <c r="X174" s="1155"/>
      <c r="Y174" s="1155"/>
      <c r="Z174" s="1155"/>
      <c r="AA174" s="1657"/>
      <c r="AB174" s="562"/>
      <c r="AC174" s="562"/>
      <c r="AD174" s="562"/>
      <c r="AE174" s="562"/>
    </row>
    <row s="1666" customFormat="1" customHeight="1" ht="11.25">
      <c r="A175" s="982"/>
      <c r="B175" s="1661"/>
      <c r="C175" s="1661"/>
      <c r="D175" s="339"/>
      <c r="K175" s="1155"/>
      <c r="L175" s="1661"/>
      <c r="M175" s="1661"/>
      <c r="N175" s="1155"/>
      <c r="O175" s="1155"/>
      <c r="P175" s="1155"/>
      <c r="Q175" s="1155"/>
      <c r="R175" s="1661"/>
      <c r="S175" s="1155"/>
      <c r="T175" s="1155"/>
      <c r="U175" s="540"/>
      <c r="V175" s="1155"/>
      <c r="W175" s="1155"/>
      <c r="X175" s="1155"/>
      <c r="Y175" s="1155"/>
      <c r="Z175" s="1155"/>
      <c r="AA175" s="1657"/>
      <c r="AB175" s="562"/>
      <c r="AC175" s="562"/>
      <c r="AD175" s="562"/>
      <c r="AE175" s="562"/>
    </row>
    <row s="1666" customFormat="1" customHeight="1" ht="11.25">
      <c r="A176" s="982"/>
      <c r="B176" s="1661"/>
      <c r="C176" s="1661"/>
      <c r="D176" s="339"/>
      <c r="K176" s="1155"/>
      <c r="L176" s="1661"/>
      <c r="M176" s="1661"/>
      <c r="N176" s="1155"/>
      <c r="O176" s="1155"/>
      <c r="P176" s="1155"/>
      <c r="Q176" s="1155"/>
      <c r="R176" s="1661"/>
      <c r="S176" s="1155"/>
      <c r="T176" s="1155"/>
      <c r="U176" s="540"/>
      <c r="V176" s="1155"/>
      <c r="W176" s="1155"/>
      <c r="X176" s="1155"/>
      <c r="Y176" s="1155"/>
      <c r="Z176" s="1155"/>
      <c r="AA176" s="1657"/>
      <c r="AB176" s="562"/>
      <c r="AC176" s="562"/>
      <c r="AD176" s="562"/>
      <c r="AE176" s="562"/>
    </row>
    <row s="1666" customFormat="1" customHeight="1" ht="11.25">
      <c r="A177" s="982"/>
      <c r="B177" s="1661"/>
      <c r="C177" s="1661"/>
      <c r="D177" s="339"/>
      <c r="K177" s="1155"/>
      <c r="L177" s="1661"/>
      <c r="M177" s="1661"/>
      <c r="N177" s="1155"/>
      <c r="O177" s="1155"/>
      <c r="P177" s="1155"/>
      <c r="Q177" s="1155"/>
      <c r="R177" s="1661"/>
      <c r="S177" s="1155"/>
      <c r="T177" s="1155"/>
      <c r="U177" s="540"/>
      <c r="V177" s="1155"/>
      <c r="W177" s="1155"/>
      <c r="X177" s="1155"/>
      <c r="Y177" s="1155"/>
      <c r="Z177" s="1155"/>
      <c r="AA177" s="1657"/>
      <c r="AB177" s="562"/>
      <c r="AC177" s="562"/>
      <c r="AD177" s="562"/>
      <c r="AE177" s="562"/>
    </row>
    <row s="1666" customFormat="1" customHeight="1" ht="11.25">
      <c r="A178" s="982"/>
      <c r="B178" s="1661"/>
      <c r="C178" s="1661"/>
      <c r="D178" s="339"/>
      <c r="K178" s="1155"/>
      <c r="L178" s="1661"/>
      <c r="M178" s="1661"/>
      <c r="N178" s="1155"/>
      <c r="O178" s="1155"/>
      <c r="P178" s="1155"/>
      <c r="Q178" s="1155"/>
      <c r="R178" s="1661"/>
      <c r="S178" s="1155"/>
      <c r="T178" s="1155"/>
      <c r="U178" s="540"/>
      <c r="V178" s="1155"/>
      <c r="W178" s="1155"/>
      <c r="X178" s="1155"/>
      <c r="Y178" s="1155"/>
      <c r="Z178" s="1155"/>
      <c r="AA178" s="1657"/>
      <c r="AB178" s="562"/>
      <c r="AC178" s="562"/>
      <c r="AD178" s="562"/>
      <c r="AE178" s="562"/>
    </row>
    <row s="1666" customFormat="1" customHeight="1" ht="11.25">
      <c r="A179" s="982"/>
      <c r="B179" s="1661"/>
      <c r="C179" s="1661"/>
      <c r="D179" s="339"/>
      <c r="K179" s="1155"/>
      <c r="L179" s="1661"/>
      <c r="M179" s="1661"/>
      <c r="N179" s="1155"/>
      <c r="O179" s="1155"/>
      <c r="P179" s="1155"/>
      <c r="Q179" s="1155"/>
      <c r="R179" s="1661"/>
      <c r="S179" s="1155"/>
      <c r="T179" s="1155"/>
      <c r="U179" s="540"/>
      <c r="V179" s="1155"/>
      <c r="W179" s="1155"/>
      <c r="X179" s="1155"/>
      <c r="Y179" s="1155"/>
      <c r="Z179" s="1155"/>
      <c r="AA179" s="1657"/>
      <c r="AB179" s="562"/>
      <c r="AC179" s="562"/>
      <c r="AD179" s="562"/>
      <c r="AE179" s="562"/>
    </row>
    <row s="1666" customFormat="1" customHeight="1" ht="11.25">
      <c r="A180" s="982"/>
      <c r="B180" s="1661"/>
      <c r="C180" s="1661"/>
      <c r="D180" s="339"/>
      <c r="K180" s="1155"/>
      <c r="L180" s="1661"/>
      <c r="M180" s="1661"/>
      <c r="N180" s="1155"/>
      <c r="O180" s="1155"/>
      <c r="P180" s="1155"/>
      <c r="Q180" s="1155"/>
      <c r="R180" s="1661"/>
      <c r="S180" s="1155"/>
      <c r="T180" s="1155"/>
      <c r="U180" s="540"/>
      <c r="V180" s="1155"/>
      <c r="W180" s="1155"/>
      <c r="X180" s="1155"/>
      <c r="Y180" s="1155"/>
      <c r="Z180" s="1155"/>
      <c r="AA180" s="1657"/>
      <c r="AB180" s="562"/>
      <c r="AC180" s="562"/>
      <c r="AD180" s="562"/>
      <c r="AE180" s="562"/>
    </row>
    <row s="1666" customFormat="1" customHeight="1" ht="11.25">
      <c r="A181" s="982"/>
      <c r="B181" s="1661"/>
      <c r="C181" s="1661"/>
      <c r="D181" s="339"/>
      <c r="K181" s="1155"/>
      <c r="L181" s="1661"/>
      <c r="M181" s="1661"/>
      <c r="N181" s="1155"/>
      <c r="O181" s="1155"/>
      <c r="P181" s="1155"/>
      <c r="Q181" s="1155"/>
      <c r="R181" s="1661"/>
      <c r="S181" s="1155"/>
      <c r="T181" s="1155"/>
      <c r="U181" s="540"/>
      <c r="V181" s="1155"/>
      <c r="W181" s="1155"/>
      <c r="X181" s="1155"/>
      <c r="Y181" s="1155"/>
      <c r="Z181" s="1155"/>
      <c r="AA181" s="1657"/>
      <c r="AB181" s="562"/>
      <c r="AC181" s="562"/>
      <c r="AD181" s="562"/>
      <c r="AE181" s="562"/>
    </row>
    <row s="1666" customFormat="1" customHeight="1" ht="11.25">
      <c r="A182" s="982"/>
      <c r="B182" s="1661"/>
      <c r="C182" s="1661"/>
      <c r="D182" s="339"/>
      <c r="K182" s="1155"/>
      <c r="L182" s="1661"/>
      <c r="M182" s="1661"/>
      <c r="N182" s="1155"/>
      <c r="O182" s="1155"/>
      <c r="P182" s="1155"/>
      <c r="Q182" s="1155"/>
      <c r="R182" s="1661"/>
      <c r="S182" s="1155"/>
      <c r="T182" s="1155"/>
      <c r="U182" s="540"/>
      <c r="V182" s="1155"/>
      <c r="W182" s="1155"/>
      <c r="X182" s="1155"/>
      <c r="Y182" s="1155"/>
      <c r="Z182" s="1155"/>
      <c r="AA182" s="1657"/>
      <c r="AB182" s="562"/>
      <c r="AC182" s="562"/>
      <c r="AD182" s="562"/>
      <c r="AE182" s="562"/>
    </row>
    <row s="1666" customFormat="1" customHeight="1" ht="11.25">
      <c r="A183" s="982"/>
      <c r="B183" s="1661"/>
      <c r="C183" s="1661"/>
      <c r="D183" s="339"/>
      <c r="K183" s="1155"/>
      <c r="L183" s="1661"/>
      <c r="M183" s="1661"/>
      <c r="N183" s="1155"/>
      <c r="O183" s="1155"/>
      <c r="P183" s="1155"/>
      <c r="Q183" s="1155"/>
      <c r="R183" s="1661"/>
      <c r="S183" s="1155"/>
      <c r="T183" s="1155"/>
      <c r="U183" s="540"/>
      <c r="V183" s="1155"/>
      <c r="W183" s="1155"/>
      <c r="X183" s="1155"/>
      <c r="Y183" s="1155"/>
      <c r="Z183" s="1155"/>
      <c r="AA183" s="1657"/>
      <c r="AB183" s="562"/>
      <c r="AC183" s="562"/>
      <c r="AD183" s="562"/>
      <c r="AE183" s="562"/>
    </row>
    <row s="1666" customFormat="1" customHeight="1" ht="11.25">
      <c r="A184" s="982"/>
      <c r="B184" s="1661"/>
      <c r="C184" s="1661"/>
      <c r="D184" s="339"/>
      <c r="K184" s="1155"/>
      <c r="L184" s="1661"/>
      <c r="M184" s="1661"/>
      <c r="N184" s="1155"/>
      <c r="O184" s="1155"/>
      <c r="P184" s="1155"/>
      <c r="Q184" s="1155"/>
      <c r="R184" s="1661"/>
      <c r="S184" s="1155"/>
      <c r="T184" s="1155"/>
      <c r="U184" s="540"/>
      <c r="V184" s="1155"/>
      <c r="W184" s="1155"/>
      <c r="X184" s="1155"/>
      <c r="Y184" s="1155"/>
      <c r="Z184" s="1155"/>
      <c r="AA184" s="1657"/>
      <c r="AB184" s="562"/>
      <c r="AC184" s="562"/>
      <c r="AD184" s="562"/>
      <c r="AE184" s="562"/>
    </row>
    <row s="1666" customFormat="1" customHeight="1" ht="11.25">
      <c r="A185" s="982"/>
      <c r="B185" s="1661"/>
      <c r="C185" s="1661"/>
      <c r="D185" s="339"/>
      <c r="K185" s="1155"/>
      <c r="L185" s="1661"/>
      <c r="M185" s="1661"/>
      <c r="N185" s="1155"/>
      <c r="O185" s="1155"/>
      <c r="P185" s="1155"/>
      <c r="Q185" s="1155"/>
      <c r="R185" s="1661"/>
      <c r="S185" s="1155"/>
      <c r="T185" s="1155"/>
      <c r="U185" s="540"/>
      <c r="V185" s="1155"/>
      <c r="W185" s="1155"/>
      <c r="X185" s="1155"/>
      <c r="Y185" s="1155"/>
      <c r="Z185" s="1155"/>
      <c r="AA185" s="1657"/>
      <c r="AB185" s="562"/>
      <c r="AC185" s="562"/>
      <c r="AD185" s="562"/>
      <c r="AE185" s="562"/>
    </row>
    <row s="1666" customFormat="1" customHeight="1" ht="11.25">
      <c r="A186" s="982"/>
      <c r="B186" s="1661"/>
      <c r="C186" s="1661"/>
      <c r="D186" s="339"/>
      <c r="K186" s="1155"/>
      <c r="L186" s="1661"/>
      <c r="M186" s="1661"/>
      <c r="N186" s="1155"/>
      <c r="O186" s="1155"/>
      <c r="P186" s="1155"/>
      <c r="Q186" s="1155"/>
      <c r="R186" s="1661"/>
      <c r="S186" s="1155"/>
      <c r="T186" s="1155"/>
      <c r="U186" s="540"/>
      <c r="V186" s="1155"/>
      <c r="W186" s="1155"/>
      <c r="X186" s="1155"/>
      <c r="Y186" s="1155"/>
      <c r="Z186" s="1155"/>
      <c r="AA186" s="1657"/>
      <c r="AB186" s="562"/>
      <c r="AC186" s="562"/>
      <c r="AD186" s="562"/>
      <c r="AE186" s="562"/>
    </row>
    <row s="1666" customFormat="1" customHeight="1" ht="11.25">
      <c r="A187" s="982"/>
      <c r="B187" s="1661"/>
      <c r="C187" s="1661"/>
      <c r="D187" s="339"/>
      <c r="K187" s="1155"/>
      <c r="L187" s="1661"/>
      <c r="M187" s="1661"/>
      <c r="N187" s="1155"/>
      <c r="O187" s="1155"/>
      <c r="P187" s="1155"/>
      <c r="Q187" s="1155"/>
      <c r="R187" s="1661"/>
      <c r="S187" s="1155"/>
      <c r="T187" s="1155"/>
      <c r="U187" s="540"/>
      <c r="V187" s="1155"/>
      <c r="W187" s="1155"/>
      <c r="X187" s="1155"/>
      <c r="Y187" s="1155"/>
      <c r="Z187" s="1155"/>
      <c r="AA187" s="1657"/>
      <c r="AB187" s="562"/>
      <c r="AC187" s="562"/>
      <c r="AD187" s="562"/>
      <c r="AE187" s="562"/>
    </row>
    <row s="1666" customFormat="1" customHeight="1" ht="11.25">
      <c r="A188" s="982"/>
      <c r="B188" s="1661"/>
      <c r="C188" s="1661"/>
      <c r="D188" s="339"/>
      <c r="K188" s="1155"/>
      <c r="L188" s="1661"/>
      <c r="M188" s="1661"/>
      <c r="N188" s="1155"/>
      <c r="O188" s="1155"/>
      <c r="P188" s="1155"/>
      <c r="Q188" s="1155"/>
      <c r="R188" s="1661"/>
      <c r="S188" s="1155"/>
      <c r="T188" s="1155"/>
      <c r="U188" s="540"/>
      <c r="V188" s="1155"/>
      <c r="W188" s="1155"/>
      <c r="X188" s="1155"/>
      <c r="Y188" s="1155"/>
      <c r="Z188" s="1155"/>
      <c r="AA188" s="1657"/>
      <c r="AB188" s="562"/>
      <c r="AC188" s="562"/>
      <c r="AD188" s="562"/>
      <c r="AE188" s="562"/>
    </row>
    <row s="1666" customFormat="1" customHeight="1" ht="11.25">
      <c r="A189" s="982"/>
      <c r="B189" s="1661"/>
      <c r="C189" s="1661"/>
      <c r="D189" s="339"/>
      <c r="K189" s="1155"/>
      <c r="L189" s="1661"/>
      <c r="M189" s="1661"/>
      <c r="N189" s="1155"/>
      <c r="O189" s="1155"/>
      <c r="P189" s="1155"/>
      <c r="Q189" s="1155"/>
      <c r="R189" s="1661"/>
      <c r="S189" s="1155"/>
      <c r="T189" s="1155"/>
      <c r="U189" s="540"/>
      <c r="V189" s="1155"/>
      <c r="W189" s="1155"/>
      <c r="X189" s="1155"/>
      <c r="Y189" s="1155"/>
      <c r="Z189" s="1155"/>
      <c r="AA189" s="1657"/>
      <c r="AB189" s="562"/>
      <c r="AC189" s="562"/>
      <c r="AD189" s="562"/>
      <c r="AE189" s="562"/>
    </row>
    <row s="1666" customFormat="1" customHeight="1" ht="11.25">
      <c r="A190" s="982"/>
      <c r="B190" s="1661"/>
      <c r="C190" s="1661"/>
      <c r="D190" s="339"/>
      <c r="K190" s="1155"/>
      <c r="L190" s="1661"/>
      <c r="M190" s="1661"/>
      <c r="N190" s="1155"/>
      <c r="O190" s="1155"/>
      <c r="P190" s="1155"/>
      <c r="Q190" s="1155"/>
      <c r="R190" s="1661"/>
      <c r="S190" s="1155"/>
      <c r="T190" s="1155"/>
      <c r="U190" s="540"/>
      <c r="V190" s="1155"/>
      <c r="W190" s="1155"/>
      <c r="X190" s="1155"/>
      <c r="Y190" s="1155"/>
      <c r="Z190" s="1155"/>
      <c r="AA190" s="1657"/>
      <c r="AB190" s="562"/>
      <c r="AC190" s="562"/>
      <c r="AD190" s="562"/>
      <c r="AE190" s="562"/>
    </row>
    <row s="1666" customFormat="1" customHeight="1" ht="11.25">
      <c r="A191" s="982"/>
      <c r="B191" s="1661"/>
      <c r="C191" s="1661"/>
      <c r="D191" s="339"/>
      <c r="K191" s="1155"/>
      <c r="L191" s="1661"/>
      <c r="M191" s="1661"/>
      <c r="N191" s="1155"/>
      <c r="O191" s="1155"/>
      <c r="P191" s="1155"/>
      <c r="Q191" s="1155"/>
      <c r="R191" s="1661"/>
      <c r="S191" s="1155"/>
      <c r="T191" s="1155"/>
      <c r="U191" s="540"/>
      <c r="V191" s="1155"/>
      <c r="W191" s="1155"/>
      <c r="X191" s="1155"/>
      <c r="Y191" s="1155"/>
      <c r="Z191" s="1155"/>
      <c r="AA191" s="1657"/>
      <c r="AB191" s="562"/>
      <c r="AC191" s="562"/>
      <c r="AD191" s="562"/>
      <c r="AE191" s="562"/>
    </row>
    <row s="1666" customFormat="1" customHeight="1" ht="11.25">
      <c r="A192" s="982"/>
      <c r="B192" s="1661"/>
      <c r="C192" s="1661"/>
      <c r="D192" s="339"/>
      <c r="K192" s="1155"/>
      <c r="L192" s="1661"/>
      <c r="M192" s="1661"/>
      <c r="N192" s="1155"/>
      <c r="O192" s="1155"/>
      <c r="P192" s="1155"/>
      <c r="Q192" s="1155"/>
      <c r="R192" s="1661"/>
      <c r="S192" s="1155"/>
      <c r="T192" s="1155"/>
      <c r="U192" s="540"/>
      <c r="V192" s="1155"/>
      <c r="W192" s="1155"/>
      <c r="X192" s="1155"/>
      <c r="Y192" s="1155"/>
      <c r="Z192" s="1155"/>
      <c r="AA192" s="1657"/>
      <c r="AB192" s="562"/>
      <c r="AC192" s="562"/>
      <c r="AD192" s="562"/>
      <c r="AE192" s="562"/>
    </row>
    <row s="1666" customFormat="1" customHeight="1" ht="11.25">
      <c r="A193" s="982"/>
      <c r="B193" s="1661"/>
      <c r="C193" s="1661"/>
      <c r="D193" s="339"/>
      <c r="K193" s="1155"/>
      <c r="L193" s="1661"/>
      <c r="M193" s="1661"/>
      <c r="N193" s="1155"/>
      <c r="O193" s="1155"/>
      <c r="P193" s="1155"/>
      <c r="Q193" s="1155"/>
      <c r="R193" s="1661"/>
      <c r="S193" s="1155"/>
      <c r="T193" s="1155"/>
      <c r="U193" s="540"/>
      <c r="V193" s="1155"/>
      <c r="W193" s="1155"/>
      <c r="X193" s="1155"/>
      <c r="Y193" s="1155"/>
      <c r="Z193" s="1155"/>
      <c r="AA193" s="1657"/>
      <c r="AB193" s="562"/>
      <c r="AC193" s="562"/>
      <c r="AD193" s="562"/>
      <c r="AE193" s="562"/>
    </row>
    <row s="1666" customFormat="1" customHeight="1" ht="11.25">
      <c r="A194" s="982"/>
      <c r="B194" s="1661"/>
      <c r="C194" s="1661"/>
      <c r="D194" s="339"/>
      <c r="K194" s="1155"/>
      <c r="L194" s="1661"/>
      <c r="M194" s="1661"/>
      <c r="N194" s="1155"/>
      <c r="O194" s="1155"/>
      <c r="P194" s="1155"/>
      <c r="Q194" s="1155"/>
      <c r="R194" s="1661"/>
      <c r="S194" s="1155"/>
      <c r="T194" s="1155"/>
      <c r="U194" s="540"/>
      <c r="V194" s="1155"/>
      <c r="W194" s="1155"/>
      <c r="X194" s="1155"/>
      <c r="Y194" s="1155"/>
      <c r="Z194" s="1155"/>
      <c r="AA194" s="1657"/>
      <c r="AB194" s="562"/>
      <c r="AC194" s="562"/>
      <c r="AD194" s="562"/>
      <c r="AE194" s="562"/>
    </row>
    <row s="1666" customFormat="1" customHeight="1" ht="11.25">
      <c r="A195" s="982"/>
      <c r="B195" s="1661"/>
      <c r="C195" s="1661"/>
      <c r="D195" s="339"/>
      <c r="K195" s="1155"/>
      <c r="L195" s="1661"/>
      <c r="M195" s="1661"/>
      <c r="N195" s="1155"/>
      <c r="O195" s="1155"/>
      <c r="P195" s="1155"/>
      <c r="Q195" s="1155"/>
      <c r="R195" s="1661"/>
      <c r="S195" s="1155"/>
      <c r="T195" s="1155"/>
      <c r="U195" s="540"/>
      <c r="V195" s="1155"/>
      <c r="W195" s="1155"/>
      <c r="X195" s="1155"/>
      <c r="Y195" s="1155"/>
      <c r="Z195" s="1155"/>
      <c r="AA195" s="1657"/>
      <c r="AB195" s="562"/>
      <c r="AC195" s="562"/>
      <c r="AD195" s="562"/>
      <c r="AE195" s="562"/>
    </row>
    <row r="199" customHeight="1" ht="11.25">
      <c r="A199" s="985"/>
      <c r="B199" s="1656"/>
      <c r="D199" s="1656"/>
      <c r="K199" s="1656"/>
      <c r="N199" s="1656"/>
      <c r="O199" s="1656"/>
      <c r="P199" s="1656"/>
      <c r="Q199" s="1656"/>
      <c r="S199" s="1656"/>
      <c r="T199" s="1656"/>
      <c r="U199" s="1656"/>
      <c r="V199" s="1656"/>
      <c r="W199" s="1656"/>
      <c r="X199" s="1656"/>
      <c r="Y199" s="1656"/>
      <c r="Z199" s="1656"/>
      <c r="AA199" s="1656"/>
      <c r="AB199" s="1656"/>
      <c r="AC199" s="1656"/>
      <c r="AD199" s="1656"/>
      <c r="AE199" s="1656"/>
    </row>
    <row customHeight="1" ht="11.25">
      <c r="A200" s="985"/>
      <c r="B200" s="1656"/>
      <c r="D200" s="1656"/>
      <c r="K200" s="1656"/>
      <c r="N200" s="1656"/>
      <c r="O200" s="1656"/>
      <c r="P200" s="1656"/>
      <c r="Q200" s="1656"/>
      <c r="S200" s="1656"/>
      <c r="T200" s="1656"/>
      <c r="U200" s="1656"/>
      <c r="V200" s="1656"/>
      <c r="W200" s="1656"/>
      <c r="X200" s="1656"/>
      <c r="Y200" s="1656"/>
      <c r="Z200" s="1656"/>
      <c r="AA200" s="1656"/>
      <c r="AB200" s="1656"/>
      <c r="AC200" s="1656"/>
      <c r="AD200" s="1656"/>
      <c r="AE200" s="1656"/>
    </row>
    <row customHeight="1" ht="11.25">
      <c r="A201" s="985"/>
      <c r="B201" s="1656"/>
      <c r="D201" s="1656"/>
      <c r="K201" s="1656"/>
      <c r="N201" s="1656"/>
      <c r="O201" s="1656"/>
      <c r="P201" s="1656"/>
      <c r="Q201" s="1656"/>
      <c r="S201" s="1656"/>
      <c r="T201" s="1656"/>
      <c r="U201" s="1656"/>
      <c r="V201" s="1656"/>
      <c r="W201" s="1656"/>
      <c r="X201" s="1656"/>
      <c r="Y201" s="1656"/>
      <c r="Z201" s="1656"/>
      <c r="AA201" s="1656"/>
      <c r="AB201" s="1656"/>
      <c r="AC201" s="1656"/>
      <c r="AD201" s="1656"/>
      <c r="AE201" s="1656"/>
    </row>
    <row customHeight="1" ht="11.25">
      <c r="A202" s="985"/>
      <c r="B202" s="1656"/>
      <c r="D202" s="1656"/>
      <c r="K202" s="1656"/>
      <c r="N202" s="1656"/>
      <c r="O202" s="1656"/>
      <c r="P202" s="1656"/>
      <c r="Q202" s="1656"/>
      <c r="S202" s="1656"/>
      <c r="T202" s="1656"/>
      <c r="U202" s="1656"/>
      <c r="V202" s="1656"/>
      <c r="W202" s="1656"/>
      <c r="X202" s="1656"/>
      <c r="Y202" s="1656"/>
      <c r="Z202" s="1656"/>
      <c r="AA202" s="1656"/>
      <c r="AB202" s="1656"/>
      <c r="AC202" s="1656"/>
      <c r="AD202" s="1656"/>
      <c r="AE202" s="1656"/>
    </row>
    <row customHeight="1" ht="11.25">
      <c r="A203" s="985"/>
      <c r="B203" s="1656"/>
      <c r="D203" s="1656"/>
      <c r="K203" s="1656"/>
      <c r="N203" s="1656"/>
      <c r="O203" s="1656"/>
      <c r="P203" s="1656"/>
      <c r="Q203" s="1656"/>
      <c r="S203" s="1656"/>
      <c r="T203" s="1656"/>
      <c r="U203" s="1656"/>
      <c r="V203" s="1656"/>
      <c r="W203" s="1656"/>
      <c r="X203" s="1656"/>
      <c r="Y203" s="1656"/>
      <c r="Z203" s="1656"/>
      <c r="AA203" s="1656"/>
      <c r="AB203" s="1656"/>
      <c r="AC203" s="1656"/>
      <c r="AD203" s="1656"/>
      <c r="AE203" s="1656"/>
    </row>
    <row customHeight="1" ht="11.25">
      <c r="A204" s="985"/>
      <c r="B204" s="1656"/>
      <c r="D204" s="1656"/>
      <c r="K204" s="1656"/>
      <c r="N204" s="1656"/>
      <c r="O204" s="1656"/>
      <c r="P204" s="1656"/>
      <c r="Q204" s="1656"/>
      <c r="S204" s="1656"/>
      <c r="T204" s="1656"/>
      <c r="U204" s="1656"/>
      <c r="V204" s="1656"/>
      <c r="W204" s="1656"/>
      <c r="X204" s="1656"/>
      <c r="Y204" s="1656"/>
      <c r="Z204" s="1656"/>
      <c r="AA204" s="1656"/>
      <c r="AB204" s="1656"/>
      <c r="AC204" s="1656"/>
      <c r="AD204" s="1656"/>
      <c r="AE204" s="1656"/>
    </row>
    <row customHeight="1" ht="11.25">
      <c r="A205" s="985"/>
      <c r="B205" s="1656"/>
      <c r="D205" s="1656"/>
      <c r="K205" s="1656"/>
      <c r="N205" s="1656"/>
      <c r="O205" s="1656"/>
      <c r="P205" s="1656"/>
      <c r="Q205" s="1656"/>
      <c r="S205" s="1656"/>
      <c r="T205" s="1656"/>
      <c r="U205" s="1656"/>
      <c r="V205" s="1656"/>
      <c r="W205" s="1656"/>
      <c r="X205" s="1656"/>
      <c r="Y205" s="1656"/>
      <c r="Z205" s="1656"/>
      <c r="AA205" s="1656"/>
      <c r="AB205" s="1656"/>
      <c r="AC205" s="1656"/>
      <c r="AD205" s="1656"/>
      <c r="AE205" s="1656"/>
    </row>
    <row customHeight="1" ht="11.25">
      <c r="A206" s="985"/>
      <c r="B206" s="1656"/>
      <c r="D206" s="1656"/>
      <c r="K206" s="1656"/>
      <c r="N206" s="1656"/>
      <c r="O206" s="1656"/>
      <c r="P206" s="1656"/>
      <c r="Q206" s="1656"/>
      <c r="S206" s="1656"/>
      <c r="T206" s="1656"/>
      <c r="U206" s="1656"/>
      <c r="V206" s="1656"/>
      <c r="W206" s="1656"/>
      <c r="X206" s="1656"/>
      <c r="Y206" s="1656"/>
      <c r="Z206" s="1656"/>
      <c r="AA206" s="1656"/>
      <c r="AB206" s="1656"/>
      <c r="AC206" s="1656"/>
      <c r="AD206" s="1656"/>
      <c r="AE206" s="1656"/>
    </row>
    <row customHeight="1" ht="11.25">
      <c r="A207" s="985"/>
      <c r="B207" s="1656"/>
      <c r="D207" s="1656"/>
      <c r="K207" s="1656"/>
      <c r="N207" s="1656"/>
      <c r="O207" s="1656"/>
      <c r="P207" s="1656"/>
      <c r="Q207" s="1656"/>
      <c r="S207" s="1656"/>
      <c r="T207" s="1656"/>
      <c r="U207" s="1656"/>
      <c r="V207" s="1656"/>
      <c r="W207" s="1656"/>
      <c r="X207" s="1656"/>
      <c r="Y207" s="1656"/>
      <c r="Z207" s="1656"/>
      <c r="AA207" s="1656"/>
      <c r="AB207" s="1656"/>
      <c r="AC207" s="1656"/>
      <c r="AD207" s="1656"/>
      <c r="AE207" s="1656"/>
    </row>
    <row customHeight="1" ht="11.25">
      <c r="A208" s="985"/>
      <c r="B208" s="1656"/>
      <c r="D208" s="1656"/>
      <c r="K208" s="1656"/>
      <c r="N208" s="1656"/>
      <c r="O208" s="1656"/>
      <c r="P208" s="1656"/>
      <c r="Q208" s="1656"/>
      <c r="S208" s="1656"/>
      <c r="T208" s="1656"/>
      <c r="U208" s="1656"/>
      <c r="V208" s="1656"/>
      <c r="W208" s="1656"/>
      <c r="X208" s="1656"/>
      <c r="Y208" s="1656"/>
      <c r="Z208" s="1656"/>
      <c r="AA208" s="1656"/>
      <c r="AB208" s="1656"/>
      <c r="AC208" s="1656"/>
      <c r="AD208" s="1656"/>
      <c r="AE208" s="1656"/>
    </row>
    <row customHeight="1" ht="11.25">
      <c r="A209" s="985"/>
      <c r="B209" s="1656"/>
      <c r="D209" s="1656"/>
      <c r="K209" s="1656"/>
      <c r="N209" s="1656"/>
      <c r="O209" s="1656"/>
      <c r="P209" s="1656"/>
      <c r="Q209" s="1656"/>
      <c r="S209" s="1656"/>
      <c r="T209" s="1656"/>
      <c r="U209" s="1656"/>
      <c r="V209" s="1656"/>
      <c r="W209" s="1656"/>
      <c r="X209" s="1656"/>
      <c r="Y209" s="1656"/>
      <c r="Z209" s="1656"/>
      <c r="AA209" s="1656"/>
      <c r="AB209" s="1656"/>
      <c r="AC209" s="1656"/>
      <c r="AD209" s="1656"/>
      <c r="AE209" s="1656"/>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4BC548-F1D1-9251-2BBB-338000E3F02E}"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1161" width="9.140625" hidden="1" customWidth="1"/>
    <col min="2" max="2" style="1667" width="3.57421875" hidden="1" customWidth="1"/>
    <col min="3" max="3" style="1660" width="3.7109375" customWidth="1"/>
    <col min="4" max="4" style="1660" width="7.7109375" customWidth="1"/>
    <col min="5" max="5" style="1660" width="69.8515625" customWidth="1"/>
    <col min="6" max="6" style="1660" width="11.140625" customWidth="1"/>
    <col min="7" max="8" style="1660" width="44.00390625" hidden="1" customWidth="1"/>
    <col min="9" max="10" style="1660" width="44.00390625" customWidth="1"/>
    <col min="11" max="11" style="1660" width="74.00390625" customWidth="1"/>
    <col min="12" max="12" style="1660" width="3.7109375" customWidth="1"/>
    <col min="13" max="23" style="1660" width="10.57421875"/>
  </cols>
  <sheetData>
    <row s="1383" customFormat="1" customHeight="1" ht="11.25" hidden="1">
      <c r="A1" s="532"/>
      <c r="B1" s="507"/>
      <c r="G1" s="414">
        <v>4</v>
      </c>
      <c r="I1" s="414">
        <v>4</v>
      </c>
      <c r="K1" s="414">
        <v>5</v>
      </c>
    </row>
    <row customHeight="1" ht="3"/>
    <row customHeight="1" ht="75">
      <c r="D3" s="207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74"/>
      <c r="F3" s="2075"/>
    </row>
    <row s="1660" customFormat="1" customHeight="1" ht="20.25">
      <c r="A4" s="946"/>
      <c r="B4" s="507"/>
      <c r="D4" s="2061" t="str">
        <f>IF(org=0,"Не определено",org)</f>
        <v>ООО "ПРОМ ИМПУЛЬС"</v>
      </c>
      <c r="E4" s="2062"/>
      <c r="F4" s="2063"/>
    </row>
    <row customHeight="1" ht="11.25">
      <c r="C5" s="505"/>
      <c r="D5" s="584"/>
      <c r="E5" s="584"/>
      <c r="F5" s="584"/>
      <c r="G5" s="584"/>
      <c r="H5" s="747"/>
      <c r="I5" s="584"/>
      <c r="J5" s="747"/>
      <c r="K5" s="584"/>
    </row>
    <row customHeight="1" ht="0.75">
      <c r="C6" s="505"/>
      <c r="D6" s="505"/>
      <c r="E6" s="518"/>
      <c r="F6" s="610"/>
      <c r="G6" s="1017"/>
      <c r="H6" s="1017"/>
      <c r="I6" s="1017" t="s">
        <v>116</v>
      </c>
      <c r="J6" s="1017"/>
    </row>
    <row customHeight="1" ht="11.25">
      <c r="D7" s="706"/>
      <c r="E7" s="2195" t="s">
        <v>104</v>
      </c>
      <c r="F7" s="2196"/>
      <c r="G7" s="2212" t="str">
        <f>IF(G6="","",INDEX(DIFFERENTIATION_UNMERGE_VD,MATCH(G6,DIFFERENTIATION_ID_DIFF,0)))</f>
        <v/>
      </c>
      <c r="H7" s="2213"/>
      <c r="I7" s="2212">
        <f>IF(I6="","",INDEX(DIFFERENTIATION_UNMERGE_VD,MATCH(I6,DIFFERENTIATION_ID_DIFF,0)))</f>
        <v>0</v>
      </c>
      <c r="J7" s="2213"/>
      <c r="K7" s="2010"/>
      <c r="L7" s="505"/>
    </row>
    <row customHeight="1" ht="11.25">
      <c r="A8" s="699"/>
      <c r="D8" s="706"/>
      <c r="E8" s="2195" t="s">
        <v>563</v>
      </c>
      <c r="F8" s="2196"/>
      <c r="G8" s="2212" t="str">
        <f>IF(G6="","",INDEX(DIFFERENTIATION_UNMERGE_AREA,MATCH(G6,DIFFERENTIATION_ID_DIFF,0)))</f>
        <v/>
      </c>
      <c r="H8" s="2213"/>
      <c r="I8" s="2212" t="str">
        <f>IF(I6="","",INDEX(DIFFERENTIATION_UNMERGE_AREA,MATCH(I6,DIFFERENTIATION_ID_DIFF,0)))</f>
        <v/>
      </c>
      <c r="J8" s="2213"/>
      <c r="K8" s="2018"/>
      <c r="L8" s="505"/>
    </row>
    <row customHeight="1" ht="11.25">
      <c r="A9" s="699"/>
      <c r="D9" s="706"/>
      <c r="E9" s="2195" t="s">
        <v>564</v>
      </c>
      <c r="F9" s="2196"/>
      <c r="G9" s="2212" t="str">
        <f>IF(G6="","",INDEX(DIFFERENTIATION_UNMERGE_SYSTEM,MATCH(G6,DIFFERENTIATION_ID_DIFF,0)))</f>
        <v/>
      </c>
      <c r="H9" s="2213"/>
      <c r="I9" s="2212" t="str">
        <f>IF(I6="","",INDEX(DIFFERENTIATION_UNMERGE_SYSTEM,MATCH(I6,DIFFERENTIATION_ID_DIFF,0)))</f>
        <v>без дифференциации</v>
      </c>
      <c r="J9" s="2213"/>
      <c r="K9" s="2018"/>
      <c r="L9" s="505"/>
    </row>
    <row s="1660" customFormat="1" customHeight="1" ht="11.25">
      <c r="A10" s="1016"/>
      <c r="B10" s="507"/>
      <c r="D10" s="1937" t="s">
        <v>305</v>
      </c>
      <c r="E10" s="1938"/>
      <c r="F10" s="1938"/>
      <c r="G10" s="1938"/>
      <c r="H10" s="1938"/>
      <c r="I10" s="1938"/>
      <c r="J10" s="1939"/>
      <c r="K10" s="2018"/>
      <c r="L10" s="505"/>
    </row>
    <row s="1660" customFormat="1" customHeight="1" ht="22.5">
      <c r="A11" s="2215"/>
      <c r="B11" s="2215"/>
      <c r="C11" s="652"/>
      <c r="D11" s="698" t="s">
        <v>87</v>
      </c>
      <c r="E11" s="700" t="s">
        <v>720</v>
      </c>
      <c r="F11" s="700" t="s">
        <v>565</v>
      </c>
      <c r="G11" s="461" t="s">
        <v>308</v>
      </c>
      <c r="H11" s="461" t="s">
        <v>397</v>
      </c>
      <c r="I11" s="801" t="s">
        <v>308</v>
      </c>
      <c r="J11" s="802" t="s">
        <v>397</v>
      </c>
      <c r="K11" s="2072"/>
      <c r="L11" s="653"/>
    </row>
    <row s="1667" customFormat="1" customHeight="1" ht="10.5">
      <c r="A12" s="947"/>
      <c r="D12" s="1020" t="s">
        <v>108</v>
      </c>
      <c r="E12" s="1020" t="s">
        <v>109</v>
      </c>
      <c r="F12" s="1020" t="s">
        <v>89</v>
      </c>
      <c r="G12" s="1021" t="str">
        <f>G1&amp;".1"</f>
        <v>4.1</v>
      </c>
      <c r="H12" s="1021" t="str">
        <f>G1&amp;".2"</f>
        <v>4.2</v>
      </c>
      <c r="I12" s="1021" t="str">
        <f>I1&amp;".1"</f>
        <v>4.1</v>
      </c>
      <c r="J12" s="1021" t="str">
        <f>I1&amp;".2"</f>
        <v>4.2</v>
      </c>
      <c r="K12" s="1021"/>
    </row>
    <row customHeight="1" ht="22.5">
      <c r="A13" s="2214" t="s">
        <v>721</v>
      </c>
      <c r="D13" s="948" t="s">
        <v>108</v>
      </c>
      <c r="E13" s="260" t="s">
        <v>722</v>
      </c>
      <c r="F13" s="655" t="s">
        <v>723</v>
      </c>
      <c r="G13" s="553"/>
      <c r="H13" s="656"/>
      <c r="I13" s="553"/>
      <c r="J13" s="656"/>
      <c r="K13" s="270" t="s">
        <v>724</v>
      </c>
      <c r="L13" s="715"/>
    </row>
    <row customHeight="1" ht="22.5">
      <c r="A14" s="2214"/>
      <c r="D14" s="535" t="s">
        <v>109</v>
      </c>
      <c r="E14" s="260" t="s">
        <v>725</v>
      </c>
      <c r="F14" s="655" t="s">
        <v>726</v>
      </c>
      <c r="G14" s="553"/>
      <c r="H14" s="657"/>
      <c r="I14" s="553"/>
      <c r="J14" s="657"/>
      <c r="K14" s="270" t="s">
        <v>727</v>
      </c>
      <c r="L14" s="715"/>
    </row>
    <row s="1660" customFormat="1" customHeight="1" ht="78.75">
      <c r="A15" s="2214"/>
      <c r="B15" s="507"/>
      <c r="D15" s="948" t="s">
        <v>89</v>
      </c>
      <c r="E15" s="702" t="s">
        <v>728</v>
      </c>
      <c r="F15" s="945" t="s">
        <v>311</v>
      </c>
      <c r="G15" s="945" t="s">
        <v>311</v>
      </c>
      <c r="H15" s="86"/>
      <c r="I15" s="945" t="s">
        <v>311</v>
      </c>
      <c r="J15" s="86"/>
      <c r="K15" s="270" t="s">
        <v>729</v>
      </c>
      <c r="L15" s="715"/>
    </row>
    <row s="1660" customFormat="1" customHeight="1" ht="22.5">
      <c r="A16" s="2214"/>
      <c r="B16" s="507"/>
      <c r="D16" s="948" t="s">
        <v>331</v>
      </c>
      <c r="E16" s="949" t="s">
        <v>730</v>
      </c>
      <c r="F16" s="945" t="s">
        <v>731</v>
      </c>
      <c r="G16" s="811"/>
      <c r="H16" s="86"/>
      <c r="I16" s="811"/>
      <c r="J16" s="86"/>
      <c r="K16" s="270"/>
      <c r="L16" s="715"/>
    </row>
    <row s="1660" customFormat="1" customHeight="1" ht="22.5">
      <c r="A17" s="2214"/>
      <c r="B17" s="507"/>
      <c r="D17" s="948" t="s">
        <v>339</v>
      </c>
      <c r="E17" s="949" t="s">
        <v>732</v>
      </c>
      <c r="F17" s="945" t="s">
        <v>733</v>
      </c>
      <c r="G17" s="811"/>
      <c r="H17" s="86"/>
      <c r="I17" s="811"/>
      <c r="J17" s="86"/>
      <c r="K17" s="270"/>
      <c r="L17" s="715"/>
    </row>
    <row s="1660" customFormat="1" customHeight="1" ht="33.75">
      <c r="A18" s="2214"/>
      <c r="B18" s="507"/>
      <c r="D18" s="948" t="s">
        <v>341</v>
      </c>
      <c r="E18" s="949" t="s">
        <v>734</v>
      </c>
      <c r="F18" s="945" t="s">
        <v>570</v>
      </c>
      <c r="G18" s="675"/>
      <c r="H18" s="86"/>
      <c r="I18" s="675"/>
      <c r="J18" s="86"/>
      <c r="K18" s="270"/>
      <c r="L18" s="715"/>
    </row>
    <row customHeight="1" ht="101.25">
      <c r="A19" s="2214"/>
      <c r="D19" s="948" t="s">
        <v>90</v>
      </c>
      <c r="E19" s="260" t="s">
        <v>735</v>
      </c>
      <c r="F19" s="655" t="s">
        <v>545</v>
      </c>
      <c r="G19" s="658"/>
      <c r="H19" s="657"/>
      <c r="I19" s="950"/>
      <c r="J19" s="657"/>
      <c r="K19" s="270" t="s">
        <v>736</v>
      </c>
      <c r="L19" s="715"/>
    </row>
    <row s="1660" customFormat="1" customHeight="1" ht="18.75">
      <c r="A20" s="2214"/>
      <c r="C20" s="951"/>
      <c r="D20" s="948" t="s">
        <v>666</v>
      </c>
      <c r="E20" s="949" t="s">
        <v>737</v>
      </c>
      <c r="F20" s="945" t="s">
        <v>311</v>
      </c>
      <c r="G20" s="945" t="s">
        <v>311</v>
      </c>
      <c r="H20" s="944" t="s">
        <v>311</v>
      </c>
      <c r="I20" s="945" t="s">
        <v>311</v>
      </c>
      <c r="J20" s="944" t="s">
        <v>311</v>
      </c>
      <c r="K20" s="943"/>
      <c r="L20" s="715"/>
      <c r="W20" s="670"/>
    </row>
    <row s="1660" customFormat="1" customHeight="1" ht="33.75">
      <c r="A21" s="2214"/>
      <c r="C21" s="951"/>
      <c r="D21" s="948" t="s">
        <v>669</v>
      </c>
      <c r="E21" s="572" t="s">
        <v>738</v>
      </c>
      <c r="F21" s="945" t="s">
        <v>739</v>
      </c>
      <c r="G21" s="937"/>
      <c r="H21" s="86"/>
      <c r="I21" s="937"/>
      <c r="J21" s="86"/>
      <c r="K21" s="943"/>
      <c r="L21" s="715"/>
      <c r="W21" s="670"/>
    </row>
    <row s="1660" customFormat="1" customHeight="1" ht="33.75">
      <c r="A22" s="2214"/>
      <c r="C22" s="951"/>
      <c r="D22" s="948" t="s">
        <v>672</v>
      </c>
      <c r="E22" s="572" t="s">
        <v>740</v>
      </c>
      <c r="F22" s="945" t="s">
        <v>741</v>
      </c>
      <c r="G22" s="937"/>
      <c r="H22" s="86"/>
      <c r="I22" s="937"/>
      <c r="J22" s="86"/>
      <c r="K22" s="943"/>
      <c r="L22" s="715"/>
      <c r="W22" s="670"/>
    </row>
    <row s="1660" customFormat="1" customHeight="1" ht="22.5">
      <c r="A23" s="2214"/>
      <c r="C23" s="951"/>
      <c r="D23" s="948" t="s">
        <v>709</v>
      </c>
      <c r="E23" s="949" t="s">
        <v>742</v>
      </c>
      <c r="F23" s="945" t="s">
        <v>311</v>
      </c>
      <c r="G23" s="945" t="s">
        <v>311</v>
      </c>
      <c r="H23" s="944" t="s">
        <v>311</v>
      </c>
      <c r="I23" s="945" t="s">
        <v>311</v>
      </c>
      <c r="J23" s="944" t="s">
        <v>311</v>
      </c>
      <c r="K23" s="943"/>
      <c r="L23" s="715"/>
      <c r="W23" s="670"/>
    </row>
    <row s="1660" customFormat="1" customHeight="1" ht="22.5">
      <c r="A24" s="2214"/>
      <c r="C24" s="951"/>
      <c r="D24" s="948" t="s">
        <v>743</v>
      </c>
      <c r="E24" s="572" t="s">
        <v>744</v>
      </c>
      <c r="F24" s="945" t="s">
        <v>745</v>
      </c>
      <c r="G24" s="937"/>
      <c r="H24" s="681"/>
      <c r="I24" s="937"/>
      <c r="J24" s="681"/>
      <c r="K24" s="943"/>
      <c r="L24" s="715"/>
      <c r="W24" s="670"/>
    </row>
    <row s="1660" customFormat="1" customHeight="1" ht="22.5">
      <c r="A25" s="2214"/>
      <c r="C25" s="951"/>
      <c r="D25" s="948" t="s">
        <v>746</v>
      </c>
      <c r="E25" s="572" t="s">
        <v>747</v>
      </c>
      <c r="F25" s="945" t="s">
        <v>311</v>
      </c>
      <c r="G25" s="945" t="s">
        <v>311</v>
      </c>
      <c r="H25" s="944" t="s">
        <v>311</v>
      </c>
      <c r="I25" s="945" t="s">
        <v>311</v>
      </c>
      <c r="J25" s="944" t="s">
        <v>311</v>
      </c>
      <c r="K25" s="943"/>
      <c r="L25" s="715"/>
      <c r="W25" s="670"/>
    </row>
    <row s="1660" customFormat="1" customHeight="1" ht="18.75">
      <c r="A26" s="2214"/>
      <c r="C26" s="951"/>
      <c r="D26" s="948" t="s">
        <v>748</v>
      </c>
      <c r="E26" s="549" t="s">
        <v>749</v>
      </c>
      <c r="F26" s="945" t="s">
        <v>750</v>
      </c>
      <c r="G26" s="675"/>
      <c r="H26" s="681"/>
      <c r="I26" s="675"/>
      <c r="J26" s="681"/>
      <c r="K26" s="943"/>
      <c r="L26" s="715"/>
      <c r="W26" s="670"/>
    </row>
    <row s="1660" customFormat="1" customHeight="1" ht="18.75">
      <c r="A27" s="2214"/>
      <c r="C27" s="951"/>
      <c r="D27" s="948" t="s">
        <v>751</v>
      </c>
      <c r="E27" s="549" t="s">
        <v>752</v>
      </c>
      <c r="F27" s="945" t="s">
        <v>753</v>
      </c>
      <c r="G27" s="675"/>
      <c r="H27" s="681"/>
      <c r="I27" s="675"/>
      <c r="J27" s="681"/>
      <c r="K27" s="943"/>
      <c r="L27" s="715"/>
      <c r="W27" s="670"/>
    </row>
    <row s="1660" customFormat="1" customHeight="1" ht="18.75">
      <c r="A28" s="2214"/>
      <c r="C28" s="951"/>
      <c r="D28" s="948" t="s">
        <v>754</v>
      </c>
      <c r="E28" s="572" t="s">
        <v>755</v>
      </c>
      <c r="F28" s="945" t="s">
        <v>311</v>
      </c>
      <c r="G28" s="945" t="s">
        <v>311</v>
      </c>
      <c r="H28" s="944" t="s">
        <v>311</v>
      </c>
      <c r="I28" s="945" t="s">
        <v>311</v>
      </c>
      <c r="J28" s="944" t="s">
        <v>311</v>
      </c>
      <c r="K28" s="943"/>
      <c r="L28" s="715"/>
      <c r="W28" s="670"/>
    </row>
    <row s="1660" customFormat="1" customHeight="1" ht="18.75">
      <c r="A29" s="2214"/>
      <c r="C29" s="951"/>
      <c r="D29" s="948" t="s">
        <v>756</v>
      </c>
      <c r="E29" s="549" t="s">
        <v>749</v>
      </c>
      <c r="F29" s="945" t="s">
        <v>757</v>
      </c>
      <c r="G29" s="675"/>
      <c r="H29" s="681"/>
      <c r="I29" s="675"/>
      <c r="J29" s="681"/>
      <c r="K29" s="943"/>
      <c r="L29" s="715"/>
      <c r="W29" s="670"/>
    </row>
    <row s="1660" customFormat="1" customHeight="1" ht="18.75">
      <c r="A30" s="2214"/>
      <c r="C30" s="951"/>
      <c r="D30" s="948" t="s">
        <v>758</v>
      </c>
      <c r="E30" s="549" t="s">
        <v>759</v>
      </c>
      <c r="F30" s="945" t="s">
        <v>760</v>
      </c>
      <c r="G30" s="675"/>
      <c r="H30" s="681"/>
      <c r="I30" s="675"/>
      <c r="J30" s="681"/>
      <c r="K30" s="943"/>
      <c r="L30" s="715"/>
      <c r="W30" s="670"/>
    </row>
    <row customHeight="1" ht="126.75">
      <c r="A31" s="2214"/>
      <c r="D31" s="948" t="s">
        <v>110</v>
      </c>
      <c r="E31" s="260" t="s">
        <v>761</v>
      </c>
      <c r="F31" s="655" t="s">
        <v>557</v>
      </c>
      <c r="G31" s="553"/>
      <c r="H31" s="657"/>
      <c r="I31" s="553"/>
      <c r="J31" s="657"/>
      <c r="K31" s="270" t="s">
        <v>762</v>
      </c>
      <c r="L31" s="715"/>
    </row>
    <row customHeight="1" ht="56.25">
      <c r="A32" s="2214"/>
      <c r="D32" s="948" t="s">
        <v>91</v>
      </c>
      <c r="E32" s="260" t="s">
        <v>763</v>
      </c>
      <c r="F32" s="535" t="s">
        <v>733</v>
      </c>
      <c r="G32" s="553"/>
      <c r="H32" s="657"/>
      <c r="I32" s="553"/>
      <c r="J32" s="657"/>
      <c r="K32" s="270" t="s">
        <v>764</v>
      </c>
      <c r="L32" s="715"/>
    </row>
    <row customHeight="1" ht="11.25">
      <c r="A33" s="2214"/>
      <c r="E33" s="659"/>
      <c r="F33" s="161"/>
      <c r="G33" s="161"/>
      <c r="H33" s="161"/>
      <c r="I33" s="161"/>
      <c r="J33" s="161"/>
      <c r="K33" s="161"/>
    </row>
    <row customHeight="1" ht="12.75">
      <c r="A34" s="2214"/>
      <c r="D34" s="47">
        <v>1</v>
      </c>
      <c r="E34" s="323" t="s">
        <v>765</v>
      </c>
    </row>
    <row customHeight="1" ht="11.25">
      <c r="A35" s="2214"/>
      <c r="D35" s="361"/>
      <c r="E35" s="323" t="s">
        <v>766</v>
      </c>
    </row>
    <row s="1660" customFormat="1" customHeight="1" ht="11.25">
      <c r="A36" s="1028"/>
      <c r="B36" s="514"/>
      <c r="D36" s="1029"/>
      <c r="E36" s="1030"/>
    </row>
    <row s="1660" customFormat="1" customHeight="1" ht="22.5" hidden="1">
      <c r="A37" s="2214" t="s">
        <v>767</v>
      </c>
      <c r="B37" s="507"/>
      <c r="D37" s="948">
        <v>1</v>
      </c>
      <c r="E37" s="702" t="s">
        <v>768</v>
      </c>
      <c r="F37" s="655" t="s">
        <v>723</v>
      </c>
      <c r="G37" s="553"/>
      <c r="H37" s="515"/>
      <c r="I37" s="553"/>
      <c r="J37" s="515"/>
      <c r="K37" s="270" t="s">
        <v>769</v>
      </c>
    </row>
    <row s="1660" customFormat="1" customHeight="1" ht="22.5" hidden="1">
      <c r="A38" s="2214"/>
      <c r="B38" s="507"/>
      <c r="D38" s="664" t="s">
        <v>109</v>
      </c>
      <c r="E38" s="1027" t="s">
        <v>770</v>
      </c>
      <c r="F38" s="1031" t="s">
        <v>545</v>
      </c>
      <c r="G38" s="1031" t="s">
        <v>545</v>
      </c>
      <c r="H38" s="1025"/>
      <c r="I38" s="1031" t="s">
        <v>545</v>
      </c>
      <c r="J38" s="1025"/>
      <c r="K38" s="1026"/>
    </row>
    <row s="1660" customFormat="1" customHeight="1" ht="33.75" hidden="1">
      <c r="A39" s="2214"/>
      <c r="B39" s="507"/>
      <c r="D39" s="660" t="s">
        <v>624</v>
      </c>
      <c r="E39" s="718" t="s">
        <v>771</v>
      </c>
      <c r="F39" s="655" t="s">
        <v>772</v>
      </c>
      <c r="G39" s="663"/>
      <c r="H39" s="1018"/>
      <c r="I39" s="663"/>
      <c r="J39" s="1018"/>
      <c r="K39" s="270" t="s">
        <v>773</v>
      </c>
    </row>
    <row s="1660" customFormat="1" customHeight="1" ht="33.75" hidden="1">
      <c r="A40" s="2214"/>
      <c r="B40" s="507"/>
      <c r="D40" s="660" t="s">
        <v>627</v>
      </c>
      <c r="E40" s="718" t="s">
        <v>774</v>
      </c>
      <c r="F40" s="1022" t="s">
        <v>775</v>
      </c>
      <c r="G40" s="736"/>
      <c r="H40" s="1018"/>
      <c r="I40" s="736"/>
      <c r="J40" s="1018"/>
      <c r="K40" s="270" t="s">
        <v>776</v>
      </c>
    </row>
    <row s="1660" customFormat="1" customHeight="1" ht="22.5" hidden="1">
      <c r="A41" s="2214"/>
      <c r="B41" s="507"/>
      <c r="D41" s="660" t="s">
        <v>89</v>
      </c>
      <c r="E41" s="717" t="s">
        <v>777</v>
      </c>
      <c r="F41" s="655" t="s">
        <v>545</v>
      </c>
      <c r="G41" s="655" t="s">
        <v>545</v>
      </c>
      <c r="H41" s="1019"/>
      <c r="I41" s="655" t="s">
        <v>545</v>
      </c>
      <c r="J41" s="1019"/>
      <c r="K41" s="282"/>
    </row>
    <row s="1660" customFormat="1" customHeight="1" ht="45" hidden="1">
      <c r="A42" s="2214"/>
      <c r="B42" s="507"/>
      <c r="D42" s="660" t="s">
        <v>331</v>
      </c>
      <c r="E42" s="718" t="s">
        <v>778</v>
      </c>
      <c r="F42" s="655" t="s">
        <v>557</v>
      </c>
      <c r="G42" s="553"/>
      <c r="H42" s="1019"/>
      <c r="I42" s="553"/>
      <c r="J42" s="1019"/>
      <c r="K42" s="282" t="s">
        <v>779</v>
      </c>
    </row>
    <row s="1660" customFormat="1" customHeight="1" ht="45" hidden="1">
      <c r="A43" s="2214"/>
      <c r="B43" s="507"/>
      <c r="D43" s="660" t="s">
        <v>339</v>
      </c>
      <c r="E43" s="662" t="s">
        <v>780</v>
      </c>
      <c r="F43" s="1023" t="s">
        <v>557</v>
      </c>
      <c r="G43" s="737"/>
      <c r="H43" s="1018"/>
      <c r="I43" s="737"/>
      <c r="J43" s="1018"/>
      <c r="K43" s="282" t="s">
        <v>781</v>
      </c>
    </row>
    <row s="1660" customFormat="1" customHeight="1" ht="11.25" hidden="1">
      <c r="A44" s="2214"/>
      <c r="B44" s="507"/>
      <c r="D44" s="660" t="s">
        <v>90</v>
      </c>
      <c r="E44" s="661" t="s">
        <v>782</v>
      </c>
      <c r="F44" s="655" t="s">
        <v>772</v>
      </c>
      <c r="G44" s="663"/>
      <c r="H44" s="1018"/>
      <c r="I44" s="663"/>
      <c r="J44" s="1018"/>
      <c r="K44" s="270"/>
    </row>
    <row s="1660" customFormat="1" customHeight="1" ht="11.25" hidden="1">
      <c r="A45" s="2214"/>
      <c r="B45" s="507"/>
      <c r="D45" s="660" t="s">
        <v>666</v>
      </c>
      <c r="E45" s="662" t="s">
        <v>783</v>
      </c>
      <c r="F45" s="655" t="s">
        <v>772</v>
      </c>
      <c r="G45" s="663"/>
      <c r="H45" s="1018"/>
      <c r="I45" s="663"/>
      <c r="J45" s="1018"/>
      <c r="K45" s="270"/>
    </row>
    <row s="1660" customFormat="1" customHeight="1" ht="11.25" hidden="1">
      <c r="A46" s="2214"/>
      <c r="B46" s="507"/>
      <c r="D46" s="660" t="s">
        <v>709</v>
      </c>
      <c r="E46" s="662" t="s">
        <v>784</v>
      </c>
      <c r="F46" s="655" t="s">
        <v>772</v>
      </c>
      <c r="G46" s="663"/>
      <c r="H46" s="1018"/>
      <c r="I46" s="663"/>
      <c r="J46" s="1018"/>
      <c r="K46" s="270"/>
    </row>
    <row s="1660" customFormat="1" customHeight="1" ht="11.25" hidden="1">
      <c r="A47" s="2214"/>
      <c r="B47" s="507"/>
      <c r="D47" s="660" t="s">
        <v>712</v>
      </c>
      <c r="E47" s="662" t="s">
        <v>785</v>
      </c>
      <c r="F47" s="655" t="s">
        <v>772</v>
      </c>
      <c r="G47" s="663"/>
      <c r="H47" s="1018"/>
      <c r="I47" s="663"/>
      <c r="J47" s="1018"/>
      <c r="K47" s="270"/>
    </row>
    <row s="1660" customFormat="1" customHeight="1" ht="11.25" hidden="1">
      <c r="A48" s="2214"/>
      <c r="B48" s="507"/>
      <c r="D48" s="660" t="s">
        <v>786</v>
      </c>
      <c r="E48" s="666" t="s">
        <v>787</v>
      </c>
      <c r="F48" s="655" t="s">
        <v>772</v>
      </c>
      <c r="G48" s="663"/>
      <c r="H48" s="1018"/>
      <c r="I48" s="663"/>
      <c r="J48" s="1018"/>
      <c r="K48" s="270"/>
    </row>
    <row s="1660" customFormat="1" customHeight="1" ht="11.25" hidden="1">
      <c r="A49" s="2214"/>
      <c r="B49" s="507"/>
      <c r="D49" s="660" t="s">
        <v>788</v>
      </c>
      <c r="E49" s="666" t="s">
        <v>789</v>
      </c>
      <c r="F49" s="655" t="s">
        <v>772</v>
      </c>
      <c r="G49" s="663"/>
      <c r="H49" s="1018"/>
      <c r="I49" s="663"/>
      <c r="J49" s="1018"/>
      <c r="K49" s="270"/>
    </row>
    <row s="1660" customFormat="1" customHeight="1" ht="11.25" hidden="1">
      <c r="A50" s="2214"/>
      <c r="B50" s="507"/>
      <c r="D50" s="660" t="s">
        <v>790</v>
      </c>
      <c r="E50" s="662" t="s">
        <v>791</v>
      </c>
      <c r="F50" s="655" t="s">
        <v>772</v>
      </c>
      <c r="G50" s="663"/>
      <c r="H50" s="1018"/>
      <c r="I50" s="663"/>
      <c r="J50" s="1018"/>
      <c r="K50" s="270"/>
    </row>
    <row s="1660" customFormat="1" customHeight="1" ht="11.25" hidden="1">
      <c r="A51" s="2214"/>
      <c r="B51" s="507"/>
      <c r="D51" s="660" t="s">
        <v>792</v>
      </c>
      <c r="E51" s="662" t="s">
        <v>793</v>
      </c>
      <c r="F51" s="655" t="s">
        <v>772</v>
      </c>
      <c r="G51" s="663"/>
      <c r="H51" s="1018"/>
      <c r="I51" s="663"/>
      <c r="J51" s="1018"/>
      <c r="K51" s="270"/>
    </row>
    <row s="1660" customFormat="1" customHeight="1" ht="45" hidden="1">
      <c r="A52" s="2214"/>
      <c r="B52" s="507"/>
      <c r="D52" s="660" t="s">
        <v>110</v>
      </c>
      <c r="E52" s="661" t="s">
        <v>794</v>
      </c>
      <c r="F52" s="655" t="s">
        <v>772</v>
      </c>
      <c r="G52" s="663"/>
      <c r="H52" s="1018"/>
      <c r="I52" s="663"/>
      <c r="J52" s="1018"/>
      <c r="K52" s="270"/>
    </row>
    <row s="1660" customFormat="1" customHeight="1" ht="11.25" hidden="1">
      <c r="A53" s="2214"/>
      <c r="B53" s="507"/>
      <c r="D53" s="660" t="s">
        <v>320</v>
      </c>
      <c r="E53" s="662" t="s">
        <v>783</v>
      </c>
      <c r="F53" s="655" t="s">
        <v>772</v>
      </c>
      <c r="G53" s="663"/>
      <c r="H53" s="1018"/>
      <c r="I53" s="663"/>
      <c r="J53" s="1018"/>
      <c r="K53" s="270"/>
    </row>
    <row s="1660" customFormat="1" customHeight="1" ht="11.25" hidden="1">
      <c r="A54" s="2214"/>
      <c r="B54" s="507"/>
      <c r="D54" s="660" t="s">
        <v>322</v>
      </c>
      <c r="E54" s="662" t="s">
        <v>784</v>
      </c>
      <c r="F54" s="655" t="s">
        <v>772</v>
      </c>
      <c r="G54" s="663"/>
      <c r="H54" s="1018"/>
      <c r="I54" s="663"/>
      <c r="J54" s="1018"/>
      <c r="K54" s="270"/>
    </row>
    <row s="1660" customFormat="1" customHeight="1" ht="11.25" hidden="1">
      <c r="A55" s="2214"/>
      <c r="B55" s="507"/>
      <c r="D55" s="660" t="s">
        <v>325</v>
      </c>
      <c r="E55" s="662" t="s">
        <v>785</v>
      </c>
      <c r="F55" s="655" t="s">
        <v>772</v>
      </c>
      <c r="G55" s="663"/>
      <c r="H55" s="1018"/>
      <c r="I55" s="663"/>
      <c r="J55" s="1018"/>
      <c r="K55" s="270"/>
    </row>
    <row s="1660" customFormat="1" customHeight="1" ht="11.25" hidden="1">
      <c r="A56" s="2214"/>
      <c r="B56" s="507"/>
      <c r="D56" s="660" t="s">
        <v>795</v>
      </c>
      <c r="E56" s="666" t="s">
        <v>787</v>
      </c>
      <c r="F56" s="655" t="s">
        <v>772</v>
      </c>
      <c r="G56" s="663"/>
      <c r="H56" s="1018"/>
      <c r="I56" s="663"/>
      <c r="J56" s="1018"/>
      <c r="K56" s="270"/>
    </row>
    <row s="1660" customFormat="1" customHeight="1" ht="11.25" hidden="1">
      <c r="A57" s="2214"/>
      <c r="B57" s="507"/>
      <c r="D57" s="660" t="s">
        <v>796</v>
      </c>
      <c r="E57" s="666" t="s">
        <v>789</v>
      </c>
      <c r="F57" s="655" t="s">
        <v>772</v>
      </c>
      <c r="G57" s="663"/>
      <c r="H57" s="1018"/>
      <c r="I57" s="663"/>
      <c r="J57" s="1018"/>
      <c r="K57" s="270"/>
    </row>
    <row s="1660" customFormat="1" customHeight="1" ht="11.25" hidden="1">
      <c r="A58" s="2214"/>
      <c r="B58" s="507"/>
      <c r="D58" s="660" t="s">
        <v>327</v>
      </c>
      <c r="E58" s="662" t="s">
        <v>791</v>
      </c>
      <c r="F58" s="655" t="s">
        <v>772</v>
      </c>
      <c r="G58" s="663"/>
      <c r="H58" s="1018"/>
      <c r="I58" s="663"/>
      <c r="J58" s="1018"/>
      <c r="K58" s="270"/>
    </row>
    <row s="1660" customFormat="1" customHeight="1" ht="11.25" hidden="1">
      <c r="A59" s="2214"/>
      <c r="B59" s="507"/>
      <c r="D59" s="660" t="s">
        <v>797</v>
      </c>
      <c r="E59" s="662" t="s">
        <v>793</v>
      </c>
      <c r="F59" s="655" t="s">
        <v>772</v>
      </c>
      <c r="G59" s="663"/>
      <c r="H59" s="1018"/>
      <c r="I59" s="663"/>
      <c r="J59" s="1018"/>
      <c r="K59" s="270"/>
    </row>
    <row s="1660" customFormat="1" customHeight="1" ht="33.75" hidden="1">
      <c r="A60" s="2214"/>
      <c r="B60" s="507"/>
      <c r="D60" s="660" t="s">
        <v>91</v>
      </c>
      <c r="E60" s="661" t="s">
        <v>798</v>
      </c>
      <c r="F60" s="716" t="s">
        <v>557</v>
      </c>
      <c r="G60" s="737"/>
      <c r="H60" s="1018"/>
      <c r="I60" s="737"/>
      <c r="J60" s="1018"/>
      <c r="K60" s="282" t="s">
        <v>799</v>
      </c>
    </row>
    <row s="1660" customFormat="1" customHeight="1" ht="33.75" hidden="1">
      <c r="A61" s="2214"/>
      <c r="B61" s="507"/>
      <c r="D61" s="660" t="s">
        <v>92</v>
      </c>
      <c r="E61" s="661" t="s">
        <v>800</v>
      </c>
      <c r="F61" s="721" t="s">
        <v>733</v>
      </c>
      <c r="G61" s="663"/>
      <c r="H61" s="1018"/>
      <c r="I61" s="663"/>
      <c r="J61" s="1018"/>
      <c r="K61" s="270"/>
    </row>
    <row s="1660" customFormat="1" customHeight="1" ht="22.5" hidden="1">
      <c r="A62" s="2214"/>
      <c r="B62" s="507" t="s">
        <v>587</v>
      </c>
      <c r="D62" s="660" t="s">
        <v>111</v>
      </c>
      <c r="E62" s="661" t="s">
        <v>801</v>
      </c>
      <c r="F62" s="721" t="s">
        <v>311</v>
      </c>
      <c r="G62" s="379"/>
      <c r="H62" s="1018"/>
      <c r="I62" s="379"/>
      <c r="J62" s="1018"/>
      <c r="K62" s="270" t="s">
        <v>802</v>
      </c>
    </row>
    <row s="1660" customFormat="1" customHeight="1" ht="45" hidden="1">
      <c r="A63" s="2214"/>
      <c r="B63" s="507" t="s">
        <v>587</v>
      </c>
      <c r="D63" s="660" t="s">
        <v>803</v>
      </c>
      <c r="E63" s="662" t="s">
        <v>804</v>
      </c>
      <c r="F63" s="716" t="s">
        <v>311</v>
      </c>
      <c r="G63" s="379"/>
      <c r="H63" s="1018"/>
      <c r="I63" s="379"/>
      <c r="J63" s="1018"/>
      <c r="K63" s="270" t="s">
        <v>802</v>
      </c>
    </row>
    <row s="1660" customFormat="1" customHeight="1" ht="11.25">
      <c r="A64" s="1028"/>
      <c r="B64" s="514"/>
      <c r="D64" s="1029"/>
      <c r="E64" s="1030"/>
    </row>
    <row s="1660" customFormat="1" customHeight="1" ht="22.5" hidden="1">
      <c r="A65" s="2214" t="s">
        <v>805</v>
      </c>
      <c r="B65" s="507"/>
      <c r="D65" s="660">
        <v>1</v>
      </c>
      <c r="E65" s="739" t="s">
        <v>806</v>
      </c>
      <c r="F65" s="735" t="s">
        <v>723</v>
      </c>
      <c r="G65" s="736"/>
      <c r="H65" s="1024"/>
      <c r="I65" s="736"/>
      <c r="J65" s="1024"/>
      <c r="K65" s="281" t="s">
        <v>807</v>
      </c>
    </row>
    <row s="1660" customFormat="1" customHeight="1" ht="56.25" hidden="1">
      <c r="A66" s="2214"/>
      <c r="B66" s="507"/>
      <c r="D66" s="738" t="s">
        <v>109</v>
      </c>
      <c r="E66" s="702" t="s">
        <v>808</v>
      </c>
      <c r="F66" s="655" t="s">
        <v>545</v>
      </c>
      <c r="G66" s="655" t="s">
        <v>545</v>
      </c>
      <c r="H66" s="515"/>
      <c r="I66" s="655" t="s">
        <v>545</v>
      </c>
      <c r="J66" s="515"/>
      <c r="K66" s="270"/>
    </row>
    <row s="1660" customFormat="1" customHeight="1" ht="33.75" hidden="1">
      <c r="A67" s="2214"/>
      <c r="B67" s="507"/>
      <c r="D67" s="738" t="s">
        <v>621</v>
      </c>
      <c r="E67" s="949" t="s">
        <v>809</v>
      </c>
      <c r="F67" s="655" t="s">
        <v>775</v>
      </c>
      <c r="G67" s="722"/>
      <c r="H67" s="515"/>
      <c r="I67" s="722"/>
      <c r="J67" s="515"/>
      <c r="K67" s="270"/>
    </row>
    <row s="1660" customFormat="1" customHeight="1" ht="22.5" hidden="1">
      <c r="A68" s="2214"/>
      <c r="B68" s="507"/>
      <c r="D68" s="738" t="s">
        <v>312</v>
      </c>
      <c r="E68" s="949" t="s">
        <v>810</v>
      </c>
      <c r="F68" s="655" t="s">
        <v>775</v>
      </c>
      <c r="G68" s="722"/>
      <c r="H68" s="515"/>
      <c r="I68" s="722"/>
      <c r="J68" s="515"/>
      <c r="K68" s="270"/>
    </row>
    <row s="1660" customFormat="1" customHeight="1" ht="22.5" hidden="1">
      <c r="A69" s="2214"/>
      <c r="B69" s="507"/>
      <c r="D69" s="738" t="s">
        <v>315</v>
      </c>
      <c r="E69" s="949" t="s">
        <v>811</v>
      </c>
      <c r="F69" s="716" t="s">
        <v>557</v>
      </c>
      <c r="G69" s="737"/>
      <c r="H69" s="515"/>
      <c r="I69" s="737"/>
      <c r="J69" s="515"/>
      <c r="K69" s="270"/>
    </row>
    <row s="1660" customFormat="1" customHeight="1" ht="22.5" hidden="1">
      <c r="A70" s="2214"/>
      <c r="B70" s="507"/>
      <c r="D70" s="738" t="s">
        <v>641</v>
      </c>
      <c r="E70" s="949" t="s">
        <v>812</v>
      </c>
      <c r="F70" s="716" t="s">
        <v>557</v>
      </c>
      <c r="G70" s="737"/>
      <c r="H70" s="515"/>
      <c r="I70" s="737"/>
      <c r="J70" s="515"/>
      <c r="K70" s="270"/>
    </row>
    <row s="1660" customFormat="1" customHeight="1" ht="22.5" hidden="1">
      <c r="A71" s="2214"/>
      <c r="B71" s="507"/>
      <c r="D71" s="660" t="s">
        <v>89</v>
      </c>
      <c r="E71" s="661" t="s">
        <v>813</v>
      </c>
      <c r="F71" s="655" t="s">
        <v>775</v>
      </c>
      <c r="G71" s="553"/>
      <c r="H71" s="1025"/>
      <c r="I71" s="553"/>
      <c r="J71" s="1025"/>
      <c r="K71" s="282"/>
    </row>
    <row s="1660" customFormat="1" customHeight="1" ht="56.25" hidden="1">
      <c r="A72" s="2214"/>
      <c r="B72" s="507"/>
      <c r="D72" s="660" t="s">
        <v>90</v>
      </c>
      <c r="E72" s="661" t="s">
        <v>814</v>
      </c>
      <c r="F72" s="716" t="s">
        <v>557</v>
      </c>
      <c r="G72" s="737"/>
      <c r="H72" s="1018"/>
      <c r="I72" s="737"/>
      <c r="J72" s="1018"/>
      <c r="K72" s="282"/>
    </row>
    <row s="1660" customFormat="1" customHeight="1" ht="33.75" hidden="1">
      <c r="A73" s="2214"/>
      <c r="B73" s="507"/>
      <c r="D73" s="660" t="s">
        <v>110</v>
      </c>
      <c r="E73" s="661" t="s">
        <v>815</v>
      </c>
      <c r="F73" s="721" t="s">
        <v>733</v>
      </c>
      <c r="G73" s="663"/>
      <c r="H73" s="1018"/>
      <c r="I73" s="663"/>
      <c r="J73" s="1018"/>
      <c r="K73" s="270"/>
    </row>
    <row s="1660" customFormat="1" customHeight="1" ht="22.5" hidden="1">
      <c r="A74" s="2214"/>
      <c r="B74" s="507" t="s">
        <v>587</v>
      </c>
      <c r="D74" s="660" t="s">
        <v>91</v>
      </c>
      <c r="E74" s="661" t="s">
        <v>816</v>
      </c>
      <c r="F74" s="721" t="s">
        <v>311</v>
      </c>
      <c r="G74" s="379"/>
      <c r="H74" s="1018"/>
      <c r="I74" s="379"/>
      <c r="J74" s="1018"/>
      <c r="K74" s="270" t="s">
        <v>802</v>
      </c>
    </row>
    <row s="1660" customFormat="1" customHeight="1" ht="45" hidden="1">
      <c r="A75" s="2214"/>
      <c r="B75" s="507" t="s">
        <v>587</v>
      </c>
      <c r="D75" s="660" t="s">
        <v>817</v>
      </c>
      <c r="E75" s="662" t="s">
        <v>818</v>
      </c>
      <c r="F75" s="716" t="s">
        <v>311</v>
      </c>
      <c r="G75" s="379"/>
      <c r="H75" s="1018"/>
      <c r="I75" s="379"/>
      <c r="J75" s="1018"/>
      <c r="K75" s="270" t="s">
        <v>802</v>
      </c>
    </row>
    <row s="1660" customFormat="1" customHeight="1" ht="11.25">
      <c r="A76" s="1028"/>
      <c r="B76" s="514"/>
      <c r="D76" s="1029"/>
      <c r="E76" s="1030"/>
    </row>
    <row s="1660" customFormat="1" customHeight="1" ht="11.25" hidden="1">
      <c r="A77" s="2214" t="s">
        <v>819</v>
      </c>
      <c r="B77" s="507"/>
      <c r="D77" s="660">
        <v>1</v>
      </c>
      <c r="E77" s="661" t="s">
        <v>820</v>
      </c>
      <c r="F77" s="716" t="s">
        <v>723</v>
      </c>
      <c r="G77" s="719"/>
      <c r="H77" s="1018"/>
      <c r="I77" s="719"/>
      <c r="J77" s="1018"/>
      <c r="K77" s="270" t="s">
        <v>821</v>
      </c>
    </row>
    <row s="1660" customFormat="1" customHeight="1" ht="11.25" hidden="1">
      <c r="A78" s="2214"/>
      <c r="B78" s="507"/>
      <c r="D78" s="660" t="s">
        <v>109</v>
      </c>
      <c r="E78" s="661" t="s">
        <v>822</v>
      </c>
      <c r="F78" s="716" t="s">
        <v>723</v>
      </c>
      <c r="G78" s="719"/>
      <c r="H78" s="1018"/>
      <c r="I78" s="719"/>
      <c r="J78" s="1018"/>
      <c r="K78" s="270" t="s">
        <v>823</v>
      </c>
    </row>
    <row s="1660" customFormat="1" customHeight="1" ht="22.5" hidden="1">
      <c r="A79" s="2214"/>
      <c r="B79" s="507"/>
      <c r="D79" s="660" t="s">
        <v>89</v>
      </c>
      <c r="E79" s="717" t="s">
        <v>824</v>
      </c>
      <c r="F79" s="655" t="s">
        <v>772</v>
      </c>
      <c r="G79" s="719"/>
      <c r="H79" s="1018"/>
      <c r="I79" s="719"/>
      <c r="J79" s="1018"/>
      <c r="K79" s="270" t="s">
        <v>825</v>
      </c>
    </row>
    <row s="1660" customFormat="1" customHeight="1" ht="11.25" hidden="1">
      <c r="A80" s="2214"/>
      <c r="B80" s="507"/>
      <c r="D80" s="660" t="s">
        <v>331</v>
      </c>
      <c r="E80" s="718" t="s">
        <v>826</v>
      </c>
      <c r="F80" s="655" t="s">
        <v>772</v>
      </c>
      <c r="G80" s="719"/>
      <c r="H80" s="1018"/>
      <c r="I80" s="719"/>
      <c r="J80" s="1018"/>
      <c r="K80" s="270"/>
    </row>
    <row s="1660" customFormat="1" customHeight="1" ht="11.25" hidden="1">
      <c r="A81" s="2214"/>
      <c r="B81" s="507"/>
      <c r="D81" s="660" t="s">
        <v>339</v>
      </c>
      <c r="E81" s="718" t="s">
        <v>827</v>
      </c>
      <c r="F81" s="655" t="s">
        <v>772</v>
      </c>
      <c r="G81" s="719"/>
      <c r="H81" s="1018"/>
      <c r="I81" s="719"/>
      <c r="J81" s="1018"/>
      <c r="K81" s="270"/>
    </row>
    <row s="1660" customFormat="1" customHeight="1" ht="11.25" hidden="1">
      <c r="A82" s="2214"/>
      <c r="B82" s="507"/>
      <c r="D82" s="660" t="s">
        <v>341</v>
      </c>
      <c r="E82" s="718" t="s">
        <v>828</v>
      </c>
      <c r="F82" s="655" t="s">
        <v>772</v>
      </c>
      <c r="G82" s="719"/>
      <c r="H82" s="1018"/>
      <c r="I82" s="719"/>
      <c r="J82" s="1018"/>
      <c r="K82" s="270"/>
    </row>
    <row s="1660" customFormat="1" customHeight="1" ht="11.25" hidden="1">
      <c r="A83" s="2214"/>
      <c r="B83" s="507"/>
      <c r="D83" s="660" t="s">
        <v>343</v>
      </c>
      <c r="E83" s="718" t="s">
        <v>829</v>
      </c>
      <c r="F83" s="655" t="s">
        <v>772</v>
      </c>
      <c r="G83" s="719"/>
      <c r="H83" s="1018"/>
      <c r="I83" s="719"/>
      <c r="J83" s="1018"/>
      <c r="K83" s="270"/>
    </row>
    <row s="1660" customFormat="1" customHeight="1" ht="11.25" hidden="1">
      <c r="A84" s="2214"/>
      <c r="B84" s="507"/>
      <c r="D84" s="660" t="s">
        <v>830</v>
      </c>
      <c r="E84" s="718" t="s">
        <v>831</v>
      </c>
      <c r="F84" s="655" t="s">
        <v>772</v>
      </c>
      <c r="G84" s="719"/>
      <c r="H84" s="1018"/>
      <c r="I84" s="719"/>
      <c r="J84" s="1018"/>
      <c r="K84" s="270"/>
    </row>
    <row s="1660" customFormat="1" customHeight="1" ht="11.25" hidden="1">
      <c r="A85" s="2214"/>
      <c r="B85" s="507"/>
      <c r="D85" s="660" t="s">
        <v>832</v>
      </c>
      <c r="E85" s="718" t="s">
        <v>833</v>
      </c>
      <c r="F85" s="655" t="s">
        <v>772</v>
      </c>
      <c r="G85" s="719"/>
      <c r="H85" s="1018"/>
      <c r="I85" s="719"/>
      <c r="J85" s="1018"/>
      <c r="K85" s="270"/>
    </row>
    <row s="1660" customFormat="1" customHeight="1" ht="11.25" hidden="1">
      <c r="A86" s="2214"/>
      <c r="B86" s="507"/>
      <c r="D86" s="660" t="s">
        <v>834</v>
      </c>
      <c r="E86" s="718" t="s">
        <v>835</v>
      </c>
      <c r="F86" s="655" t="s">
        <v>772</v>
      </c>
      <c r="G86" s="719"/>
      <c r="H86" s="1018"/>
      <c r="I86" s="719"/>
      <c r="J86" s="1018"/>
      <c r="K86" s="270"/>
    </row>
    <row s="1660" customFormat="1" customHeight="1" ht="45" hidden="1">
      <c r="A87" s="2214"/>
      <c r="B87" s="507"/>
      <c r="D87" s="660" t="s">
        <v>90</v>
      </c>
      <c r="E87" s="661" t="s">
        <v>836</v>
      </c>
      <c r="F87" s="655" t="s">
        <v>772</v>
      </c>
      <c r="G87" s="719"/>
      <c r="H87" s="1018"/>
      <c r="I87" s="719"/>
      <c r="J87" s="1018"/>
      <c r="K87" s="270" t="s">
        <v>837</v>
      </c>
    </row>
    <row s="1660" customFormat="1" customHeight="1" ht="11.25" hidden="1">
      <c r="A88" s="2214"/>
      <c r="B88" s="507"/>
      <c r="D88" s="660" t="s">
        <v>666</v>
      </c>
      <c r="E88" s="718" t="s">
        <v>826</v>
      </c>
      <c r="F88" s="655" t="s">
        <v>772</v>
      </c>
      <c r="G88" s="719"/>
      <c r="H88" s="1018"/>
      <c r="I88" s="719"/>
      <c r="J88" s="1018"/>
      <c r="K88" s="270"/>
    </row>
    <row s="1660" customFormat="1" customHeight="1" ht="11.25" hidden="1">
      <c r="A89" s="2214"/>
      <c r="B89" s="507"/>
      <c r="D89" s="660" t="s">
        <v>709</v>
      </c>
      <c r="E89" s="718" t="s">
        <v>827</v>
      </c>
      <c r="F89" s="655" t="s">
        <v>772</v>
      </c>
      <c r="G89" s="719"/>
      <c r="H89" s="1018"/>
      <c r="I89" s="719"/>
      <c r="J89" s="1018"/>
      <c r="K89" s="270"/>
    </row>
    <row s="1660" customFormat="1" customHeight="1" ht="11.25" hidden="1">
      <c r="A90" s="2214"/>
      <c r="B90" s="507"/>
      <c r="D90" s="660" t="s">
        <v>712</v>
      </c>
      <c r="E90" s="718" t="s">
        <v>828</v>
      </c>
      <c r="F90" s="655" t="s">
        <v>772</v>
      </c>
      <c r="G90" s="719"/>
      <c r="H90" s="1018"/>
      <c r="I90" s="719"/>
      <c r="J90" s="1018"/>
      <c r="K90" s="270"/>
    </row>
    <row s="1660" customFormat="1" customHeight="1" ht="11.25" hidden="1">
      <c r="A91" s="2214"/>
      <c r="B91" s="507"/>
      <c r="D91" s="660" t="s">
        <v>790</v>
      </c>
      <c r="E91" s="718" t="s">
        <v>829</v>
      </c>
      <c r="F91" s="655" t="s">
        <v>772</v>
      </c>
      <c r="G91" s="719"/>
      <c r="H91" s="1018"/>
      <c r="I91" s="719"/>
      <c r="J91" s="1018"/>
      <c r="K91" s="270"/>
    </row>
    <row s="1660" customFormat="1" customHeight="1" ht="11.25" hidden="1">
      <c r="A92" s="2214"/>
      <c r="B92" s="507"/>
      <c r="D92" s="660" t="s">
        <v>792</v>
      </c>
      <c r="E92" s="718" t="s">
        <v>831</v>
      </c>
      <c r="F92" s="655" t="s">
        <v>772</v>
      </c>
      <c r="G92" s="719"/>
      <c r="H92" s="1018"/>
      <c r="I92" s="719"/>
      <c r="J92" s="1018"/>
      <c r="K92" s="270"/>
    </row>
    <row s="1660" customFormat="1" customHeight="1" ht="11.25" hidden="1">
      <c r="A93" s="2214"/>
      <c r="B93" s="507"/>
      <c r="D93" s="660" t="s">
        <v>838</v>
      </c>
      <c r="E93" s="718" t="s">
        <v>833</v>
      </c>
      <c r="F93" s="655" t="s">
        <v>772</v>
      </c>
      <c r="G93" s="719"/>
      <c r="H93" s="1018"/>
      <c r="I93" s="719"/>
      <c r="J93" s="1018"/>
      <c r="K93" s="270"/>
    </row>
    <row s="1660" customFormat="1" customHeight="1" ht="11.25" hidden="1">
      <c r="A94" s="2214"/>
      <c r="B94" s="507"/>
      <c r="D94" s="660" t="s">
        <v>839</v>
      </c>
      <c r="E94" s="718" t="s">
        <v>835</v>
      </c>
      <c r="F94" s="655" t="s">
        <v>772</v>
      </c>
      <c r="G94" s="719"/>
      <c r="H94" s="1018"/>
      <c r="I94" s="719"/>
      <c r="J94" s="1018"/>
      <c r="K94" s="270"/>
    </row>
    <row s="1660" customFormat="1" customHeight="1" ht="24.75" hidden="1">
      <c r="A95" s="2214"/>
      <c r="B95" s="507"/>
      <c r="D95" s="660" t="s">
        <v>110</v>
      </c>
      <c r="E95" s="661" t="s">
        <v>840</v>
      </c>
      <c r="F95" s="720" t="s">
        <v>557</v>
      </c>
      <c r="G95" s="722"/>
      <c r="H95" s="1018"/>
      <c r="I95" s="722"/>
      <c r="J95" s="1018"/>
      <c r="K95" s="270" t="s">
        <v>841</v>
      </c>
    </row>
    <row s="1660" customFormat="1" customHeight="1" ht="33.75" hidden="1">
      <c r="A96" s="2214"/>
      <c r="B96" s="507"/>
      <c r="D96" s="660" t="s">
        <v>91</v>
      </c>
      <c r="E96" s="661" t="s">
        <v>842</v>
      </c>
      <c r="F96" s="721" t="s">
        <v>733</v>
      </c>
      <c r="G96" s="723"/>
      <c r="H96" s="1018"/>
      <c r="I96" s="723"/>
      <c r="J96" s="1018"/>
      <c r="K96" s="270"/>
    </row>
    <row s="1660" customFormat="1" customHeight="1" ht="22.5" hidden="1">
      <c r="A97" s="2214"/>
      <c r="B97" s="507" t="s">
        <v>587</v>
      </c>
      <c r="D97" s="660" t="s">
        <v>92</v>
      </c>
      <c r="E97" s="661" t="s">
        <v>843</v>
      </c>
      <c r="F97" s="721" t="s">
        <v>311</v>
      </c>
      <c r="G97" s="382"/>
      <c r="H97" s="1018"/>
      <c r="I97" s="382"/>
      <c r="J97" s="1018"/>
      <c r="K97" s="270" t="s">
        <v>802</v>
      </c>
    </row>
    <row s="1660" customFormat="1" customHeight="1" ht="45" hidden="1">
      <c r="A98" s="2214"/>
      <c r="B98" s="507" t="s">
        <v>587</v>
      </c>
      <c r="D98" s="660" t="s">
        <v>844</v>
      </c>
      <c r="E98" s="662" t="s">
        <v>845</v>
      </c>
      <c r="F98" s="716" t="s">
        <v>311</v>
      </c>
      <c r="G98" s="382"/>
      <c r="H98" s="1018"/>
      <c r="I98" s="382"/>
      <c r="J98" s="1018"/>
      <c r="K98" s="270" t="s">
        <v>802</v>
      </c>
    </row>
    <row s="1660" customFormat="1" customHeight="1" ht="95.25" hidden="1">
      <c r="A99" s="2214"/>
      <c r="B99" s="507" t="s">
        <v>587</v>
      </c>
      <c r="D99" s="660" t="s">
        <v>111</v>
      </c>
      <c r="E99" s="661" t="s">
        <v>846</v>
      </c>
      <c r="F99" s="716" t="s">
        <v>311</v>
      </c>
      <c r="G99" s="382"/>
      <c r="H99" s="1018"/>
      <c r="I99" s="382"/>
      <c r="J99" s="1018"/>
      <c r="K99" s="270" t="s">
        <v>802</v>
      </c>
    </row>
    <row s="1660" customFormat="1" customHeight="1" ht="22.5" hidden="1">
      <c r="A100" s="2214"/>
      <c r="B100" s="507" t="s">
        <v>587</v>
      </c>
      <c r="D100" s="660" t="s">
        <v>98</v>
      </c>
      <c r="E100" s="661" t="s">
        <v>847</v>
      </c>
      <c r="F100" s="716" t="s">
        <v>311</v>
      </c>
      <c r="G100" s="382"/>
      <c r="H100" s="1018"/>
      <c r="I100" s="382"/>
      <c r="J100" s="1018"/>
      <c r="K100" s="270" t="s">
        <v>802</v>
      </c>
    </row>
    <row s="1660" customFormat="1" customHeight="1" ht="11.25">
      <c r="A101" s="1028"/>
      <c r="B101" s="514"/>
      <c r="D101" s="1029"/>
      <c r="E101" s="1030"/>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869593-2E45-FA95-324D-D6B1A6F8FD3F}" mc:Ignorable="x14ac xr xr2 xr3">
  <sheetPr>
    <tabColor rgb="FFE26B0A"/>
  </sheetPr>
  <dimension ref="A1:U39"/>
  <sheetViews>
    <sheetView topLeftCell="C21" showGridLines="0" zoomScale="90" workbookViewId="0">
      <selection activeCell="A1" sqref="A1"/>
    </sheetView>
  </sheetViews>
  <sheetFormatPr defaultColWidth="10.57421875" customHeight="1" defaultRowHeight="15"/>
  <cols>
    <col min="1" max="1" style="1657" width="9.140625" hidden="1" customWidth="1"/>
    <col min="2" max="2" style="1660" width="9.140625" hidden="1" customWidth="1"/>
    <col min="3" max="3" style="678" width="4.7109375" customWidth="1"/>
    <col min="4" max="4" style="1660" width="6.28125" customWidth="1"/>
    <col min="5" max="5" style="1660" width="36.7109375" customWidth="1"/>
    <col min="6" max="6" style="1660" width="9.57421875" customWidth="1"/>
    <col min="7" max="7" style="1660" width="25.7109375" hidden="1" customWidth="1"/>
    <col min="8" max="8" style="1660" width="33.7109375" hidden="1" customWidth="1"/>
    <col min="9" max="9" style="1660" width="25.7109375" customWidth="1"/>
    <col min="10" max="10" style="1660" width="33.7109375" customWidth="1"/>
    <col min="11" max="11" style="1383" width="93.421875" customWidth="1"/>
    <col min="12" max="20" style="1660" width="10.57421875"/>
    <col min="21" max="21" style="670" width="10.57421875"/>
  </cols>
  <sheetData>
    <row s="1383" customFormat="1" customHeight="1" ht="15" hidden="1">
      <c r="C1" s="667"/>
      <c r="G1" s="414">
        <v>4</v>
      </c>
      <c r="I1" s="414">
        <v>4</v>
      </c>
      <c r="U1" s="417"/>
    </row>
    <row s="1383" customFormat="1" customHeight="1" ht="15" hidden="1">
      <c r="C2" s="667"/>
      <c r="U2" s="417"/>
    </row>
    <row customHeight="1" ht="22.5" hidden="1">
      <c r="A3" s="501"/>
      <c r="B3" s="2216"/>
      <c r="C3" s="2217"/>
      <c r="D3" s="684" t="str">
        <f>B3&amp;".1"</f>
        <v>.1</v>
      </c>
      <c r="E3" s="685" t="s">
        <v>848</v>
      </c>
      <c r="F3" s="686" t="s">
        <v>311</v>
      </c>
      <c r="G3" s="681"/>
      <c r="H3" s="398"/>
      <c r="I3" s="681"/>
      <c r="J3" s="398"/>
      <c r="K3" s="270" t="s">
        <v>849</v>
      </c>
    </row>
    <row customHeight="1" ht="15" hidden="1">
      <c r="A4" s="501"/>
      <c r="B4" s="2216"/>
      <c r="C4" s="2217"/>
      <c r="D4" s="684" t="str">
        <f>B3&amp;".2"</f>
        <v>.2</v>
      </c>
      <c r="E4" s="685" t="s">
        <v>850</v>
      </c>
      <c r="F4" s="686" t="s">
        <v>311</v>
      </c>
      <c r="G4" s="1762" t="s">
        <v>24</v>
      </c>
      <c r="H4" s="398"/>
      <c r="I4" s="1762" t="s">
        <v>24</v>
      </c>
      <c r="J4" s="398"/>
      <c r="K4" s="270" t="s">
        <v>851</v>
      </c>
    </row>
    <row s="1383" customFormat="1" customHeight="1" ht="15" hidden="1">
      <c r="C5" s="667"/>
      <c r="U5" s="417"/>
    </row>
    <row customHeight="1" ht="22.5" hidden="1">
      <c r="A6" s="501"/>
      <c r="B6" s="2216"/>
      <c r="C6" s="2217"/>
      <c r="D6" s="684" t="str">
        <f>B6&amp;".1"</f>
        <v>.1</v>
      </c>
      <c r="E6" s="685" t="s">
        <v>852</v>
      </c>
      <c r="F6" s="686" t="s">
        <v>311</v>
      </c>
      <c r="G6" s="681"/>
      <c r="H6" s="398"/>
      <c r="I6" s="681"/>
      <c r="J6" s="398"/>
      <c r="K6" s="270" t="s">
        <v>853</v>
      </c>
    </row>
    <row customHeight="1" ht="15" hidden="1">
      <c r="A7" s="501"/>
      <c r="B7" s="2216"/>
      <c r="C7" s="2217"/>
      <c r="D7" s="684" t="str">
        <f>B6&amp;".2"</f>
        <v>.2</v>
      </c>
      <c r="E7" s="685" t="s">
        <v>850</v>
      </c>
      <c r="F7" s="686" t="s">
        <v>311</v>
      </c>
      <c r="G7" s="1762" t="s">
        <v>24</v>
      </c>
      <c r="H7" s="398"/>
      <c r="I7" s="1762" t="s">
        <v>24</v>
      </c>
      <c r="J7" s="398"/>
      <c r="K7" s="270" t="s">
        <v>851</v>
      </c>
    </row>
    <row s="1383" customFormat="1" customHeight="1" ht="15" hidden="1">
      <c r="C8" s="667"/>
      <c r="U8" s="417"/>
    </row>
    <row customHeight="1" ht="22.5" hidden="1">
      <c r="A9" s="501"/>
      <c r="B9" s="2216"/>
      <c r="C9" s="2217"/>
      <c r="D9" s="684" t="str">
        <f>B9&amp;".1"</f>
        <v>.1</v>
      </c>
      <c r="E9" s="685" t="s">
        <v>854</v>
      </c>
      <c r="F9" s="686" t="s">
        <v>311</v>
      </c>
      <c r="G9" s="692" t="s">
        <v>24</v>
      </c>
      <c r="H9" s="398" t="s">
        <v>24</v>
      </c>
      <c r="I9" s="692" t="s">
        <v>24</v>
      </c>
      <c r="J9" s="398" t="s">
        <v>24</v>
      </c>
      <c r="K9" s="270"/>
    </row>
    <row customHeight="1" ht="15" hidden="1">
      <c r="A10" s="501"/>
      <c r="B10" s="2216"/>
      <c r="C10" s="2217"/>
      <c r="D10" s="684" t="str">
        <f>B9&amp;".2"</f>
        <v>.2</v>
      </c>
      <c r="E10" s="685" t="s">
        <v>855</v>
      </c>
      <c r="F10" s="686" t="s">
        <v>311</v>
      </c>
      <c r="G10" s="1756" t="s">
        <v>24</v>
      </c>
      <c r="H10" s="398" t="s">
        <v>24</v>
      </c>
      <c r="I10" s="1756" t="s">
        <v>24</v>
      </c>
      <c r="J10" s="398" t="s">
        <v>24</v>
      </c>
      <c r="K10" s="270" t="s">
        <v>856</v>
      </c>
    </row>
    <row customHeight="1" ht="15" hidden="1">
      <c r="A11" s="501"/>
      <c r="B11" s="2216"/>
      <c r="C11" s="2217"/>
      <c r="D11" s="684" t="str">
        <f>B9&amp;".3"</f>
        <v>.3</v>
      </c>
      <c r="E11" s="685" t="s">
        <v>857</v>
      </c>
      <c r="F11" s="686" t="s">
        <v>311</v>
      </c>
      <c r="G11" s="1756" t="s">
        <v>24</v>
      </c>
      <c r="H11" s="398" t="s">
        <v>24</v>
      </c>
      <c r="I11" s="1756" t="s">
        <v>24</v>
      </c>
      <c r="J11" s="398" t="s">
        <v>24</v>
      </c>
      <c r="K11" s="270" t="s">
        <v>858</v>
      </c>
    </row>
    <row s="1383" customFormat="1" customHeight="1" ht="15" hidden="1">
      <c r="C12" s="667"/>
      <c r="U12" s="417"/>
    </row>
    <row customHeight="1" ht="33.75" hidden="1">
      <c r="A13" s="501"/>
      <c r="B13" s="2216"/>
      <c r="C13" s="2217"/>
      <c r="D13" s="684" t="str">
        <f>B13&amp;".1"</f>
        <v>.1</v>
      </c>
      <c r="E13" s="685" t="s">
        <v>859</v>
      </c>
      <c r="F13" s="686" t="s">
        <v>311</v>
      </c>
      <c r="G13" s="692" t="s">
        <v>24</v>
      </c>
      <c r="H13" s="398" t="s">
        <v>24</v>
      </c>
      <c r="I13" s="692" t="s">
        <v>24</v>
      </c>
      <c r="J13" s="398" t="s">
        <v>24</v>
      </c>
      <c r="K13" s="270" t="s">
        <v>860</v>
      </c>
    </row>
    <row customHeight="1" ht="15" hidden="1">
      <c r="B14" s="2216"/>
      <c r="C14" s="2217"/>
      <c r="D14" s="684" t="str">
        <f>B13&amp;".2"</f>
        <v>.2</v>
      </c>
      <c r="E14" s="685" t="s">
        <v>861</v>
      </c>
      <c r="F14" s="686" t="s">
        <v>311</v>
      </c>
      <c r="G14" s="1756" t="s">
        <v>24</v>
      </c>
      <c r="H14" s="398" t="s">
        <v>24</v>
      </c>
      <c r="I14" s="1756" t="s">
        <v>24</v>
      </c>
      <c r="J14" s="398" t="s">
        <v>24</v>
      </c>
      <c r="K14" s="270" t="s">
        <v>862</v>
      </c>
    </row>
    <row s="1383" customFormat="1" customHeight="1" ht="15" hidden="1">
      <c r="C15" s="667"/>
      <c r="U15" s="417"/>
    </row>
    <row s="1383" customFormat="1" customHeight="1" ht="15" hidden="1">
      <c r="C16" s="667"/>
      <c r="U16" s="417"/>
    </row>
    <row s="1383" customFormat="1" customHeight="1" ht="15" hidden="1">
      <c r="C17" s="667"/>
      <c r="U17" s="417"/>
    </row>
    <row s="1383" customFormat="1" customHeight="1" ht="15" hidden="1">
      <c r="C18" s="667"/>
      <c r="U18" s="417"/>
    </row>
    <row s="1383" customFormat="1" customHeight="1" ht="15" hidden="1">
      <c r="C19" s="667"/>
      <c r="U19" s="417"/>
    </row>
    <row s="1383" customFormat="1" customHeight="1" ht="15" hidden="1">
      <c r="C20" s="667"/>
      <c r="U20" s="417"/>
    </row>
    <row customHeight="1" ht="15">
      <c r="C21" s="156"/>
      <c r="D21" s="505"/>
      <c r="E21" s="505"/>
      <c r="F21" s="505"/>
      <c r="G21" s="505"/>
      <c r="H21" s="505"/>
      <c r="I21" s="505"/>
      <c r="J21" s="505"/>
    </row>
    <row customHeight="1" ht="22.5">
      <c r="C22" s="156"/>
      <c r="D22" s="206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067"/>
      <c r="F22" s="2067"/>
      <c r="G22" s="2067"/>
      <c r="H22" s="2067"/>
      <c r="I22" s="2067"/>
      <c r="J22" s="671"/>
      <c r="K22" s="533"/>
    </row>
    <row customHeight="1" ht="15">
      <c r="C23" s="156"/>
      <c r="D23" s="2035" t="str">
        <f>IF(org=0,"Не определено",org)</f>
        <v>ООО "ПРОМ ИМПУЛЬС"</v>
      </c>
      <c r="E23" s="2035"/>
      <c r="F23" s="2035"/>
      <c r="G23" s="2035"/>
      <c r="H23" s="2035"/>
      <c r="I23" s="2035"/>
      <c r="J23" s="671"/>
      <c r="K23" s="533"/>
    </row>
    <row customHeight="1" ht="15">
      <c r="C24" s="156"/>
      <c r="D24" s="505"/>
      <c r="E24" s="505"/>
      <c r="F24" s="505"/>
      <c r="G24" s="533">
        <v>22</v>
      </c>
      <c r="H24" s="747"/>
      <c r="I24" s="533">
        <v>22</v>
      </c>
      <c r="J24" s="747"/>
    </row>
    <row s="1660" customFormat="1" customHeight="1" ht="0.75">
      <c r="A25" s="754"/>
      <c r="C25" s="156"/>
      <c r="D25" s="505"/>
      <c r="E25" s="505"/>
      <c r="F25" s="505"/>
      <c r="G25" s="533"/>
      <c r="H25" s="747"/>
      <c r="I25" s="533" t="s">
        <v>116</v>
      </c>
      <c r="J25" s="747"/>
      <c r="K25" s="414"/>
      <c r="U25" s="670"/>
    </row>
    <row customHeight="1" ht="15">
      <c r="C26" s="156"/>
      <c r="D26" s="706"/>
      <c r="E26" s="2195" t="s">
        <v>104</v>
      </c>
      <c r="F26" s="2196"/>
      <c r="G26" s="2218" t="str">
        <f>IF(G25="","",INDEX(DIFFERENTIATION_UNMERGE_VD,MATCH(G25,DIFFERENTIATION_ID_DIFF,0)))</f>
        <v/>
      </c>
      <c r="H26" s="2219"/>
      <c r="I26" s="2218">
        <f>IF(I25="","",INDEX(DIFFERENTIATION_UNMERGE_VD,MATCH(I25,DIFFERENTIATION_ID_DIFF,0)))</f>
        <v>0</v>
      </c>
      <c r="J26" s="2219"/>
      <c r="K26" s="2010" t="s">
        <v>306</v>
      </c>
    </row>
    <row s="1660" customFormat="1" customHeight="1" ht="15">
      <c r="A27" s="754"/>
      <c r="C27" s="156"/>
      <c r="D27" s="706"/>
      <c r="E27" s="2195" t="s">
        <v>563</v>
      </c>
      <c r="F27" s="2196"/>
      <c r="G27" s="2218" t="str">
        <f>IF(G25="","",INDEX(DIFFERENTIATION_UNMERGE_AREA,MATCH(G25,DIFFERENTIATION_ID_DIFF,0)))</f>
        <v/>
      </c>
      <c r="H27" s="2219"/>
      <c r="I27" s="2218" t="str">
        <f>IF(I25="","",INDEX(DIFFERENTIATION_UNMERGE_AREA,MATCH(I25,DIFFERENTIATION_ID_DIFF,0)))</f>
        <v/>
      </c>
      <c r="J27" s="2219"/>
      <c r="K27" s="2014"/>
      <c r="U27" s="670"/>
    </row>
    <row s="1660" customFormat="1" customHeight="1" ht="15">
      <c r="A28" s="754"/>
      <c r="C28" s="156"/>
      <c r="D28" s="706"/>
      <c r="E28" s="2195" t="s">
        <v>564</v>
      </c>
      <c r="F28" s="2196"/>
      <c r="G28" s="2218" t="str">
        <f>IF(G25="","",INDEX(DIFFERENTIATION_UNMERGE_SYSTEM,MATCH(G25,DIFFERENTIATION_ID_DIFF,0)))</f>
        <v/>
      </c>
      <c r="H28" s="2219"/>
      <c r="I28" s="2218" t="str">
        <f>IF(I25="","",INDEX(DIFFERENTIATION_UNMERGE_SYSTEM,MATCH(I25,DIFFERENTIATION_ID_DIFF,0)))</f>
        <v>без дифференциации</v>
      </c>
      <c r="J28" s="2219"/>
      <c r="K28" s="2014"/>
      <c r="U28" s="670"/>
    </row>
    <row s="1660" customFormat="1" customHeight="1" ht="15">
      <c r="A29" s="754"/>
      <c r="C29" s="156"/>
      <c r="D29" s="2197" t="s">
        <v>305</v>
      </c>
      <c r="E29" s="2198"/>
      <c r="F29" s="2198"/>
      <c r="G29" s="881"/>
      <c r="H29" s="881"/>
      <c r="I29" s="881"/>
      <c r="J29" s="882"/>
      <c r="K29" s="2014"/>
      <c r="U29" s="670"/>
    </row>
    <row customHeight="1" ht="33.75">
      <c r="C30" s="156"/>
      <c r="D30" s="756" t="s">
        <v>87</v>
      </c>
      <c r="E30" s="755" t="s">
        <v>307</v>
      </c>
      <c r="F30" s="755" t="s">
        <v>565</v>
      </c>
      <c r="G30" s="802" t="s">
        <v>308</v>
      </c>
      <c r="H30" s="801" t="s">
        <v>397</v>
      </c>
      <c r="I30" s="679" t="s">
        <v>308</v>
      </c>
      <c r="J30" s="461" t="s">
        <v>397</v>
      </c>
      <c r="K30" s="2020"/>
    </row>
    <row customHeight="1" ht="15" hidden="1">
      <c r="C31" s="156"/>
      <c r="D31" s="589"/>
      <c r="E31" s="589"/>
      <c r="F31" s="589"/>
      <c r="G31" s="654"/>
      <c r="H31" s="654"/>
      <c r="I31" s="654"/>
      <c r="J31" s="654"/>
      <c r="K31" s="270"/>
    </row>
    <row customHeight="1" ht="22.5">
      <c r="A32" s="501"/>
      <c r="B32" s="501" t="s">
        <v>863</v>
      </c>
      <c r="C32" s="522"/>
      <c r="D32" s="687">
        <v>1</v>
      </c>
      <c r="E32" s="688" t="s">
        <v>864</v>
      </c>
      <c r="F32" s="686" t="s">
        <v>311</v>
      </c>
      <c r="G32" s="807" t="s">
        <v>311</v>
      </c>
      <c r="H32" s="807" t="s">
        <v>311</v>
      </c>
      <c r="I32" s="686" t="s">
        <v>311</v>
      </c>
      <c r="J32" s="686" t="s">
        <v>311</v>
      </c>
      <c r="K32" s="270"/>
    </row>
    <row customHeight="1" ht="11.25">
      <c r="A33" s="501"/>
      <c r="C33" s="501"/>
      <c r="D33" s="335"/>
      <c r="E33" s="576" t="s">
        <v>585</v>
      </c>
      <c r="F33" s="568"/>
      <c r="G33" s="568"/>
      <c r="H33" s="568"/>
      <c r="I33" s="568"/>
      <c r="J33" s="568"/>
      <c r="K33" s="569"/>
      <c r="U33" s="501"/>
    </row>
    <row customHeight="1" ht="22.5">
      <c r="A34" s="501"/>
      <c r="B34" s="577" t="s">
        <v>865</v>
      </c>
      <c r="C34" s="522"/>
      <c r="D34" s="687">
        <v>2</v>
      </c>
      <c r="E34" s="688" t="s">
        <v>866</v>
      </c>
      <c r="F34" s="814" t="s">
        <v>311</v>
      </c>
      <c r="G34" s="814" t="s">
        <v>311</v>
      </c>
      <c r="H34" s="814" t="s">
        <v>311</v>
      </c>
      <c r="I34" s="686"/>
      <c r="J34" s="686"/>
      <c r="K34" s="270"/>
    </row>
    <row customHeight="1" ht="11.25">
      <c r="A35" s="501"/>
      <c r="C35" s="501"/>
      <c r="D35" s="335"/>
      <c r="E35" s="576" t="s">
        <v>867</v>
      </c>
      <c r="F35" s="568"/>
      <c r="G35" s="689"/>
      <c r="H35" s="568"/>
      <c r="I35" s="689"/>
      <c r="J35" s="568"/>
      <c r="K35" s="569"/>
      <c r="U35" s="501"/>
    </row>
    <row customHeight="1" ht="67.5">
      <c r="A36" s="501"/>
      <c r="B36" s="501" t="s">
        <v>868</v>
      </c>
      <c r="C36" s="522"/>
      <c r="D36" s="687">
        <v>3</v>
      </c>
      <c r="E36" s="688" t="s">
        <v>869</v>
      </c>
      <c r="F36" s="690" t="s">
        <v>311</v>
      </c>
      <c r="G36" s="808" t="s">
        <v>870</v>
      </c>
      <c r="H36" s="807" t="s">
        <v>311</v>
      </c>
      <c r="I36" s="520" t="s">
        <v>870</v>
      </c>
      <c r="J36" s="686" t="s">
        <v>311</v>
      </c>
      <c r="K36" s="270" t="s">
        <v>871</v>
      </c>
    </row>
    <row customHeight="1" ht="11.25">
      <c r="A37" s="501"/>
      <c r="C37" s="501"/>
      <c r="D37" s="335"/>
      <c r="E37" s="576" t="s">
        <v>872</v>
      </c>
      <c r="F37" s="568"/>
      <c r="G37" s="689"/>
      <c r="H37" s="689"/>
      <c r="I37" s="689"/>
      <c r="J37" s="689"/>
      <c r="K37" s="569"/>
      <c r="U37" s="501"/>
    </row>
    <row customHeight="1" ht="67.5">
      <c r="A38" s="501"/>
      <c r="B38" s="501" t="s">
        <v>873</v>
      </c>
      <c r="C38" s="522"/>
      <c r="D38" s="687">
        <v>4</v>
      </c>
      <c r="E38" s="688" t="s">
        <v>874</v>
      </c>
      <c r="F38" s="690" t="s">
        <v>311</v>
      </c>
      <c r="G38" s="808" t="s">
        <v>870</v>
      </c>
      <c r="H38" s="809" t="s">
        <v>311</v>
      </c>
      <c r="I38" s="520" t="s">
        <v>870</v>
      </c>
      <c r="J38" s="517" t="s">
        <v>311</v>
      </c>
      <c r="K38" s="674" t="s">
        <v>875</v>
      </c>
    </row>
    <row customHeight="1" ht="11.25">
      <c r="A39" s="501"/>
      <c r="C39" s="501"/>
      <c r="D39" s="335"/>
      <c r="E39" s="576" t="s">
        <v>876</v>
      </c>
      <c r="F39" s="568"/>
      <c r="G39" s="568"/>
      <c r="H39" s="691"/>
      <c r="I39" s="568"/>
      <c r="J39" s="691"/>
      <c r="K39" s="569"/>
      <c r="U39" s="501"/>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CB8ED4-38D6-17F2-6865-E39DAD06A10C}"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1161" width="6.7109375" hidden="1" customWidth="1"/>
    <col min="4" max="4" style="1383" width="6.7109375" hidden="1" customWidth="1"/>
    <col min="5" max="5" style="1660" width="3.7109375" customWidth="1"/>
    <col min="6" max="6" style="1660" width="6.28125" customWidth="1"/>
    <col min="7" max="7" style="1660" width="37.7109375" customWidth="1"/>
    <col min="8" max="8" style="1660" width="16.57421875" customWidth="1"/>
    <col min="9" max="10" style="1660" width="19.7109375" customWidth="1"/>
    <col min="11" max="11" style="1660" width="25.00390625" customWidth="1"/>
    <col min="12" max="13" style="1660" width="25.7109375" customWidth="1"/>
    <col min="14" max="16" style="1660" width="17.7109375" customWidth="1"/>
    <col min="17" max="24" style="1660" width="19.7109375" customWidth="1"/>
    <col min="25" max="25" style="1660" width="8.00390625" customWidth="1"/>
    <col min="26" max="26" style="1660" width="3.28125" customWidth="1"/>
    <col min="27" max="27" style="1660" width="6.28125" customWidth="1"/>
    <col min="28" max="28" style="1660" width="34.140625" customWidth="1"/>
    <col min="29" max="30" style="1660" width="9.140625"/>
  </cols>
  <sheetData>
    <row s="1383" customFormat="1" customHeight="1" ht="10.5" hidden="1">
      <c r="A1" s="889"/>
      <c r="B1" s="889"/>
      <c r="C1" s="889"/>
      <c r="E1" s="533"/>
      <c r="H1" s="1155"/>
    </row>
    <row customHeight="1" ht="10.5" hidden="1"/>
    <row s="1657" customFormat="1" customHeight="1" ht="10.5" hidden="1">
      <c r="A3" s="889"/>
      <c r="B3" s="889"/>
      <c r="C3" s="889"/>
      <c r="D3" s="414"/>
      <c r="E3" s="352"/>
      <c r="H3" s="1151"/>
    </row>
    <row customHeight="1" ht="3"/>
    <row customHeight="1" ht="25.5">
      <c r="F5" s="212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22"/>
      <c r="H5" s="2122"/>
      <c r="I5" s="2122"/>
      <c r="J5" s="2122"/>
      <c r="K5" s="2122"/>
      <c r="M5" s="578"/>
      <c r="AB5" s="900"/>
    </row>
    <row s="1660" customFormat="1" customHeight="1" ht="15.75">
      <c r="A6" s="1161"/>
      <c r="B6" s="1161"/>
      <c r="C6" s="1161"/>
      <c r="D6" s="1155"/>
      <c r="E6" s="1660"/>
      <c r="F6" s="2123" t="str">
        <f>IF(org=0,"Не определено",org)</f>
        <v>ООО "ПРОМ ИМПУЛЬС"</v>
      </c>
      <c r="G6" s="2123"/>
      <c r="H6" s="2123"/>
      <c r="I6" s="2123"/>
      <c r="J6" s="2123"/>
      <c r="K6" s="2123"/>
      <c r="M6" s="578"/>
      <c r="AB6" s="1143"/>
    </row>
    <row r="8" customHeight="1" ht="10.5">
      <c r="A8" s="1046"/>
      <c r="B8" s="1046"/>
      <c r="C8" s="1046"/>
      <c r="F8" s="1937" t="s">
        <v>305</v>
      </c>
      <c r="G8" s="1938"/>
      <c r="H8" s="1938"/>
      <c r="I8" s="1938"/>
      <c r="J8" s="1938"/>
      <c r="K8" s="1938"/>
      <c r="L8" s="1938"/>
      <c r="M8" s="1938"/>
      <c r="N8" s="1938"/>
      <c r="O8" s="1938"/>
      <c r="P8" s="1938"/>
      <c r="Q8" s="1938"/>
      <c r="R8" s="1938"/>
      <c r="S8" s="1938"/>
      <c r="T8" s="1938"/>
      <c r="U8" s="1938"/>
      <c r="V8" s="1938"/>
      <c r="W8" s="1938"/>
      <c r="X8" s="1938"/>
      <c r="Y8" s="1938"/>
      <c r="Z8" s="1938"/>
      <c r="AA8" s="1938"/>
      <c r="AB8" s="1939"/>
    </row>
    <row customHeight="1" ht="41.25">
      <c r="A9" s="899"/>
      <c r="B9" s="899"/>
      <c r="C9" s="899"/>
      <c r="F9" s="1953" t="s">
        <v>87</v>
      </c>
      <c r="G9" s="1953" t="s">
        <v>877</v>
      </c>
      <c r="H9" s="2010" t="s">
        <v>878</v>
      </c>
      <c r="I9" s="1953" t="s">
        <v>879</v>
      </c>
      <c r="J9" s="1953" t="s">
        <v>880</v>
      </c>
      <c r="K9" s="1953" t="s">
        <v>881</v>
      </c>
      <c r="L9" s="1953" t="s">
        <v>882</v>
      </c>
      <c r="M9" s="1953" t="s">
        <v>883</v>
      </c>
      <c r="N9" s="2044" t="s">
        <v>884</v>
      </c>
      <c r="O9" s="2044"/>
      <c r="P9" s="2044"/>
      <c r="Q9" s="2224" t="s">
        <v>885</v>
      </c>
      <c r="R9" s="2225"/>
      <c r="S9" s="2225"/>
      <c r="T9" s="2226"/>
      <c r="U9" s="2224" t="s">
        <v>886</v>
      </c>
      <c r="V9" s="2225"/>
      <c r="W9" s="2225"/>
      <c r="X9" s="2226"/>
      <c r="Y9" s="1937" t="s">
        <v>887</v>
      </c>
      <c r="Z9" s="1938"/>
      <c r="AA9" s="1938"/>
      <c r="AB9" s="1939"/>
    </row>
    <row customHeight="1" ht="41.25">
      <c r="A10" s="899"/>
      <c r="B10" s="899"/>
      <c r="C10" s="899"/>
      <c r="F10" s="2010"/>
      <c r="G10" s="2010"/>
      <c r="H10" s="2072"/>
      <c r="I10" s="2010"/>
      <c r="J10" s="2010"/>
      <c r="K10" s="2010"/>
      <c r="L10" s="2010"/>
      <c r="M10" s="2010"/>
      <c r="N10" s="897" t="s">
        <v>888</v>
      </c>
      <c r="O10" s="897" t="s">
        <v>889</v>
      </c>
      <c r="P10" s="898" t="s">
        <v>890</v>
      </c>
      <c r="Q10" s="909" t="s">
        <v>88</v>
      </c>
      <c r="R10" s="909" t="s">
        <v>891</v>
      </c>
      <c r="S10" s="909" t="s">
        <v>892</v>
      </c>
      <c r="T10" s="910" t="s">
        <v>893</v>
      </c>
      <c r="U10" s="909" t="s">
        <v>88</v>
      </c>
      <c r="V10" s="909" t="s">
        <v>894</v>
      </c>
      <c r="W10" s="909" t="s">
        <v>892</v>
      </c>
      <c r="X10" s="910" t="s">
        <v>893</v>
      </c>
      <c r="Y10" s="281" t="s">
        <v>895</v>
      </c>
      <c r="Z10" s="1937" t="s">
        <v>87</v>
      </c>
      <c r="AA10" s="1939"/>
      <c r="AB10" s="1044" t="s">
        <v>896</v>
      </c>
    </row>
    <row s="1667" customFormat="1" customHeight="1" ht="5.25" hidden="1">
      <c r="A11" s="1047"/>
      <c r="B11" s="1047"/>
      <c r="C11" s="1047"/>
      <c r="E11" s="1045"/>
      <c r="F11" s="2222" t="s">
        <v>383</v>
      </c>
      <c r="G11" s="2227"/>
      <c r="H11" s="2220"/>
      <c r="I11" s="2220"/>
      <c r="J11" s="2220"/>
      <c r="K11" s="2223"/>
      <c r="L11" s="2223"/>
      <c r="M11" s="2223"/>
      <c r="N11" s="2220"/>
      <c r="O11" s="2220"/>
      <c r="P11" s="1953"/>
      <c r="Q11" s="2023"/>
      <c r="R11" s="2023"/>
      <c r="S11" s="2023"/>
      <c r="T11" s="2220"/>
      <c r="U11" s="2023"/>
      <c r="V11" s="2023"/>
      <c r="W11" s="2023"/>
      <c r="X11" s="2220"/>
      <c r="Y11" s="1964"/>
      <c r="Z11" s="1964"/>
      <c r="AA11" s="1964"/>
      <c r="AB11" s="1964"/>
      <c r="AD11" s="507" t="s">
        <v>897</v>
      </c>
    </row>
    <row s="1667" customFormat="1" customHeight="1" ht="5.25" hidden="1">
      <c r="A12" s="890"/>
      <c r="B12" s="890"/>
      <c r="C12" s="890"/>
      <c r="E12" s="514"/>
      <c r="F12" s="2222"/>
      <c r="G12" s="2227"/>
      <c r="H12" s="2220"/>
      <c r="I12" s="2220"/>
      <c r="J12" s="2220"/>
      <c r="K12" s="2223"/>
      <c r="L12" s="2223"/>
      <c r="M12" s="2223"/>
      <c r="N12" s="2220"/>
      <c r="O12" s="2220"/>
      <c r="P12" s="1953"/>
      <c r="Q12" s="2023"/>
      <c r="R12" s="2023"/>
      <c r="S12" s="2023"/>
      <c r="T12" s="2220"/>
      <c r="U12" s="2023"/>
      <c r="V12" s="2023"/>
      <c r="W12" s="2023"/>
      <c r="X12" s="2220"/>
      <c r="Y12" s="2221"/>
      <c r="Z12" s="2221"/>
      <c r="AA12" s="2221"/>
      <c r="AB12" s="2221"/>
    </row>
    <row customHeight="1" ht="10.5">
      <c r="F13" s="896"/>
      <c r="G13" s="645" t="s">
        <v>898</v>
      </c>
      <c r="H13" s="1163"/>
      <c r="I13" s="568"/>
      <c r="J13" s="568"/>
      <c r="K13" s="568"/>
      <c r="L13" s="568"/>
      <c r="M13" s="568"/>
      <c r="N13" s="568"/>
      <c r="O13" s="568"/>
      <c r="P13" s="568"/>
      <c r="Q13" s="568"/>
      <c r="R13" s="568"/>
      <c r="S13" s="568"/>
      <c r="T13" s="568"/>
      <c r="U13" s="568"/>
      <c r="V13" s="568"/>
      <c r="W13" s="568"/>
      <c r="X13" s="568"/>
      <c r="Y13" s="568"/>
      <c r="Z13" s="691"/>
      <c r="AA13" s="691"/>
      <c r="AB13" s="911"/>
    </row>
    <row r="15" s="1667" customFormat="1" customHeight="1" ht="10.5">
      <c r="A15" s="1162"/>
      <c r="B15" s="1162"/>
      <c r="C15" s="1162"/>
      <c r="E15" s="514"/>
      <c r="H15" s="50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9AE495-E4CA-28D9-216D-A45F84709FFB}"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1161" width="4.140625" hidden="1" customWidth="1"/>
    <col min="4" max="4" style="1383" width="4.140625" hidden="1" customWidth="1"/>
    <col min="5" max="5" style="1660" width="3.7109375" customWidth="1"/>
    <col min="6" max="6" style="1660" width="14.421875" customWidth="1"/>
    <col min="7" max="7" style="1660" width="3.7109375" customWidth="1"/>
    <col min="8" max="8" style="1660" width="7.7109375" customWidth="1"/>
    <col min="9" max="10" style="1660" width="16.7109375" customWidth="1"/>
    <col min="11" max="11" style="1660" width="25.7109375" customWidth="1"/>
    <col min="12" max="12" style="1660" width="8.00390625" customWidth="1"/>
    <col min="13" max="13" style="1660" width="15.57421875" customWidth="1"/>
    <col min="14" max="14" style="1660" width="3.28125" customWidth="1"/>
    <col min="15" max="15" style="1660" width="4.7109375" customWidth="1"/>
    <col min="16" max="16" style="1660" width="9.00390625" customWidth="1"/>
    <col min="17" max="17" style="1660" width="21.7109375" customWidth="1"/>
    <col min="18" max="18" style="1660" width="14.7109375" customWidth="1"/>
    <col min="19" max="20" style="1660" width="17.7109375" customWidth="1"/>
    <col min="21" max="21" style="1660" width="9.7109375" customWidth="1"/>
    <col min="22" max="22" style="1660" width="12.7109375" customWidth="1"/>
    <col min="23" max="23" style="1660" width="9.7109375" customWidth="1"/>
    <col min="24" max="24" style="1660" width="21.7109375" customWidth="1"/>
    <col min="25" max="25" style="1660" width="12.7109375" customWidth="1"/>
    <col min="26" max="26" style="1660" width="3.28125" customWidth="1"/>
    <col min="27" max="27" style="1660" width="7.140625" customWidth="1"/>
    <col min="28" max="28" style="1660" width="38.421875" customWidth="1"/>
    <col min="29" max="29" style="1660" width="15.7109375" customWidth="1"/>
    <col min="30" max="30" style="1660" width="37.57421875" customWidth="1"/>
    <col min="31" max="31" style="1660" width="15.7109375" customWidth="1"/>
    <col min="32" max="37" style="1660" width="16.7109375" customWidth="1"/>
    <col min="38" max="58" style="1660" width="9.140625"/>
  </cols>
  <sheetData>
    <row s="1383" customFormat="1" customHeight="1" ht="10.5" hidden="1">
      <c r="A1" s="889"/>
      <c r="B1" s="889"/>
      <c r="C1" s="889"/>
      <c r="E1" s="533"/>
      <c r="H1" s="1155"/>
      <c r="L1" s="1123"/>
      <c r="M1" s="1123"/>
      <c r="AD1" s="1123"/>
      <c r="AH1" s="1142"/>
      <c r="AI1" s="1135"/>
    </row>
    <row customHeight="1" ht="10.5" hidden="1"/>
    <row s="1657" customFormat="1" customHeight="1" ht="10.5" hidden="1">
      <c r="A3" s="889"/>
      <c r="B3" s="889"/>
      <c r="C3" s="889"/>
      <c r="D3" s="414"/>
      <c r="E3" s="352"/>
      <c r="H3" s="1151"/>
      <c r="L3" s="1121"/>
      <c r="M3" s="1121"/>
      <c r="AD3" s="1121"/>
      <c r="AH3" s="1140"/>
      <c r="AI3" s="1133"/>
    </row>
    <row customHeight="1" ht="3"/>
    <row customHeight="1" ht="25.5">
      <c r="F5" s="212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22"/>
      <c r="H5" s="2122"/>
      <c r="I5" s="2122"/>
      <c r="J5" s="2122"/>
      <c r="K5" s="2122"/>
      <c r="L5" s="1130"/>
      <c r="M5" s="1130"/>
      <c r="AG5" s="900"/>
      <c r="AH5" s="1143"/>
    </row>
    <row customHeight="1" ht="10.5">
      <c r="F6" s="2035" t="str">
        <f>IF(org=0,"Не определено",org)</f>
        <v>ООО "ПРОМ ИМПУЛЬС"</v>
      </c>
      <c r="G6" s="2035"/>
      <c r="H6" s="2035"/>
      <c r="I6" s="2035"/>
      <c r="J6" s="2035"/>
      <c r="K6" s="2035"/>
      <c r="L6" s="1131"/>
      <c r="M6" s="1131"/>
    </row>
    <row customHeight="1" ht="11.25">
      <c r="E7" s="902"/>
      <c r="F7" s="913"/>
      <c r="G7" s="913"/>
      <c r="H7" s="1181"/>
      <c r="I7" s="913"/>
      <c r="J7" s="913"/>
      <c r="K7" s="915"/>
      <c r="L7" s="1128"/>
      <c r="M7" s="1128"/>
      <c r="N7" s="913"/>
      <c r="O7" s="913"/>
      <c r="P7" s="913"/>
      <c r="Q7" s="915"/>
      <c r="R7" s="913"/>
      <c r="S7" s="913"/>
      <c r="T7" s="913"/>
      <c r="U7" s="913"/>
      <c r="V7" s="913"/>
      <c r="W7" s="913"/>
      <c r="X7" s="913"/>
      <c r="Y7" s="913"/>
      <c r="Z7" s="913"/>
      <c r="AA7" s="913"/>
      <c r="AB7" s="913"/>
      <c r="AC7" s="914"/>
      <c r="AD7" s="1127"/>
      <c r="AE7" s="914"/>
      <c r="AF7" s="913"/>
      <c r="AG7" s="913"/>
      <c r="AH7" s="1145"/>
      <c r="AI7" s="1138"/>
      <c r="AJ7" s="913"/>
      <c r="AK7" s="913"/>
      <c r="AL7" s="904"/>
      <c r="AM7" s="904"/>
      <c r="AN7" s="904"/>
      <c r="AO7" s="901"/>
      <c r="AP7" s="901"/>
      <c r="AQ7" s="901"/>
      <c r="AR7" s="901"/>
      <c r="AS7" s="901"/>
      <c r="AT7" s="901"/>
      <c r="AU7" s="901"/>
      <c r="AV7" s="901"/>
      <c r="AW7" s="901"/>
      <c r="AX7" s="901"/>
      <c r="AY7" s="901"/>
      <c r="AZ7" s="901"/>
      <c r="BA7" s="901"/>
      <c r="BB7" s="901"/>
      <c r="BC7" s="901"/>
      <c r="BD7" s="901"/>
      <c r="BE7" s="901"/>
      <c r="BF7" s="901"/>
    </row>
    <row customHeight="1" ht="10.5">
      <c r="E8" s="902"/>
      <c r="F8" s="2237" t="s">
        <v>305</v>
      </c>
      <c r="G8" s="2238"/>
      <c r="H8" s="2238"/>
      <c r="I8" s="2238"/>
      <c r="J8" s="2238"/>
      <c r="K8" s="2238"/>
      <c r="L8" s="2238"/>
      <c r="M8" s="2238"/>
      <c r="N8" s="2238"/>
      <c r="O8" s="2238"/>
      <c r="P8" s="2238"/>
      <c r="Q8" s="2238"/>
      <c r="R8" s="2238"/>
      <c r="S8" s="2238"/>
      <c r="T8" s="2238"/>
      <c r="U8" s="2238"/>
      <c r="V8" s="2238"/>
      <c r="W8" s="2238"/>
      <c r="X8" s="2238"/>
      <c r="Y8" s="2238"/>
      <c r="Z8" s="2238"/>
      <c r="AA8" s="2238"/>
      <c r="AB8" s="2238"/>
      <c r="AC8" s="2238"/>
      <c r="AD8" s="2238"/>
      <c r="AE8" s="2238"/>
      <c r="AF8" s="2238"/>
      <c r="AG8" s="2238"/>
      <c r="AH8" s="2238"/>
      <c r="AI8" s="2238"/>
      <c r="AJ8" s="2238"/>
      <c r="AK8" s="2239"/>
      <c r="AL8" s="903"/>
      <c r="AM8" s="901"/>
      <c r="AN8" s="901"/>
      <c r="AO8" s="901"/>
      <c r="AP8" s="901"/>
      <c r="AQ8" s="901"/>
      <c r="AR8" s="901"/>
      <c r="AS8" s="901"/>
      <c r="AT8" s="901"/>
      <c r="AU8" s="901"/>
      <c r="AV8" s="901"/>
      <c r="AW8" s="901"/>
      <c r="AX8" s="901"/>
      <c r="AY8" s="901"/>
      <c r="AZ8" s="901"/>
      <c r="BA8" s="901"/>
      <c r="BB8" s="901"/>
      <c r="BC8" s="901"/>
      <c r="BD8" s="901"/>
      <c r="BE8" s="901"/>
      <c r="BF8" s="901"/>
    </row>
    <row customHeight="1" ht="23.25">
      <c r="A9" s="899"/>
      <c r="B9" s="899"/>
      <c r="C9" s="899"/>
      <c r="E9" s="902"/>
      <c r="F9" s="2230" t="s">
        <v>899</v>
      </c>
      <c r="G9" s="2231" t="s">
        <v>900</v>
      </c>
      <c r="H9" s="2232"/>
      <c r="I9" s="1953" t="s">
        <v>901</v>
      </c>
      <c r="J9" s="1953"/>
      <c r="K9" s="1953" t="s">
        <v>902</v>
      </c>
      <c r="L9" s="1953"/>
      <c r="M9" s="1953"/>
      <c r="N9" s="1953"/>
      <c r="O9" s="1953"/>
      <c r="P9" s="1953"/>
      <c r="Q9" s="1953"/>
      <c r="R9" s="1953"/>
      <c r="S9" s="1953"/>
      <c r="T9" s="1953"/>
      <c r="U9" s="1953"/>
      <c r="V9" s="1953"/>
      <c r="W9" s="1953"/>
      <c r="X9" s="1953"/>
      <c r="Y9" s="1953"/>
      <c r="Z9" s="2011" t="s">
        <v>903</v>
      </c>
      <c r="AA9" s="2012"/>
      <c r="AB9" s="1953" t="s">
        <v>904</v>
      </c>
      <c r="AC9" s="1953"/>
      <c r="AD9" s="1953"/>
      <c r="AE9" s="1953"/>
      <c r="AF9" s="2010" t="s">
        <v>905</v>
      </c>
      <c r="AG9" s="1953" t="s">
        <v>906</v>
      </c>
      <c r="AH9" s="1953"/>
      <c r="AI9" s="2010" t="s">
        <v>907</v>
      </c>
      <c r="AJ9" s="1953" t="s">
        <v>908</v>
      </c>
      <c r="AK9" s="1953"/>
      <c r="AL9" s="1137"/>
      <c r="AM9" s="901"/>
      <c r="AN9" s="901"/>
      <c r="AO9" s="901"/>
      <c r="AP9" s="901"/>
      <c r="AQ9" s="901"/>
      <c r="AR9" s="901"/>
      <c r="AS9" s="901"/>
      <c r="AT9" s="901"/>
      <c r="AU9" s="901"/>
      <c r="AV9" s="901"/>
      <c r="AW9" s="901"/>
      <c r="AX9" s="901"/>
      <c r="AY9" s="901"/>
      <c r="AZ9" s="901"/>
      <c r="BA9" s="901"/>
      <c r="BB9" s="901"/>
      <c r="BC9" s="901"/>
      <c r="BD9" s="901"/>
      <c r="BE9" s="901"/>
      <c r="BF9" s="901"/>
    </row>
    <row customHeight="1" ht="23.25">
      <c r="A10" s="899"/>
      <c r="B10" s="899"/>
      <c r="C10" s="899"/>
      <c r="E10" s="906"/>
      <c r="F10" s="2230"/>
      <c r="G10" s="2233"/>
      <c r="H10" s="2234"/>
      <c r="I10" s="1953"/>
      <c r="J10" s="1953"/>
      <c r="K10" s="1953" t="s">
        <v>909</v>
      </c>
      <c r="L10" s="1937" t="s">
        <v>910</v>
      </c>
      <c r="M10" s="1939"/>
      <c r="N10" s="1953" t="s">
        <v>911</v>
      </c>
      <c r="O10" s="1953"/>
      <c r="P10" s="1953"/>
      <c r="Q10" s="1953"/>
      <c r="R10" s="1953"/>
      <c r="S10" s="1953"/>
      <c r="T10" s="1953"/>
      <c r="U10" s="1953"/>
      <c r="V10" s="1953"/>
      <c r="W10" s="1953"/>
      <c r="X10" s="1953"/>
      <c r="Y10" s="1953"/>
      <c r="Z10" s="2013"/>
      <c r="AA10" s="2014"/>
      <c r="AB10" s="1953"/>
      <c r="AC10" s="1953"/>
      <c r="AD10" s="1953"/>
      <c r="AE10" s="1953"/>
      <c r="AF10" s="2018"/>
      <c r="AG10" s="1953"/>
      <c r="AH10" s="1953"/>
      <c r="AI10" s="2018"/>
      <c r="AJ10" s="1953"/>
      <c r="AK10" s="1953"/>
      <c r="AL10" s="1137"/>
      <c r="AM10" s="907"/>
      <c r="AN10" s="907"/>
      <c r="AO10" s="907"/>
      <c r="AP10" s="907"/>
      <c r="AQ10" s="907"/>
      <c r="AR10" s="907"/>
      <c r="AS10" s="907"/>
      <c r="AT10" s="907"/>
      <c r="AU10" s="907"/>
      <c r="AV10" s="907"/>
      <c r="AW10" s="907"/>
      <c r="AX10" s="907"/>
      <c r="AY10" s="907"/>
      <c r="AZ10" s="907"/>
      <c r="BA10" s="907"/>
      <c r="BB10" s="907"/>
      <c r="BC10" s="907"/>
      <c r="BD10" s="907"/>
      <c r="BE10" s="907"/>
      <c r="BF10" s="907"/>
    </row>
    <row s="1660" customFormat="1" customHeight="1" ht="23.25">
      <c r="A11" s="1124"/>
      <c r="B11" s="1124"/>
      <c r="C11" s="1124"/>
      <c r="D11" s="1123"/>
      <c r="E11" s="1125"/>
      <c r="F11" s="2230"/>
      <c r="G11" s="2233"/>
      <c r="H11" s="2234"/>
      <c r="I11" s="1953"/>
      <c r="J11" s="1953"/>
      <c r="K11" s="1953"/>
      <c r="L11" s="2010" t="s">
        <v>912</v>
      </c>
      <c r="M11" s="2010" t="s">
        <v>913</v>
      </c>
      <c r="N11" s="1953" t="s">
        <v>914</v>
      </c>
      <c r="O11" s="1953"/>
      <c r="P11" s="2228" t="s">
        <v>895</v>
      </c>
      <c r="Q11" s="2228" t="s">
        <v>915</v>
      </c>
      <c r="R11" s="2228" t="s">
        <v>916</v>
      </c>
      <c r="S11" s="2228" t="s">
        <v>917</v>
      </c>
      <c r="T11" s="2228"/>
      <c r="U11" s="2228"/>
      <c r="V11" s="2228"/>
      <c r="W11" s="2228"/>
      <c r="X11" s="2228"/>
      <c r="Y11" s="2228"/>
      <c r="Z11" s="2013"/>
      <c r="AA11" s="2014"/>
      <c r="AB11" s="1953" t="s">
        <v>918</v>
      </c>
      <c r="AC11" s="1953"/>
      <c r="AD11" s="1937" t="s">
        <v>919</v>
      </c>
      <c r="AE11" s="1939"/>
      <c r="AF11" s="2018"/>
      <c r="AG11" s="1953"/>
      <c r="AH11" s="1953"/>
      <c r="AI11" s="2018"/>
      <c r="AJ11" s="1953"/>
      <c r="AK11" s="1953"/>
      <c r="AL11" s="1137"/>
      <c r="AM11" s="1122"/>
      <c r="AN11" s="1122"/>
      <c r="AO11" s="1122"/>
      <c r="AP11" s="1122"/>
      <c r="AQ11" s="1122"/>
      <c r="AR11" s="1122"/>
      <c r="AS11" s="1122"/>
      <c r="AT11" s="1122"/>
      <c r="AU11" s="1122"/>
      <c r="AV11" s="1122"/>
      <c r="AW11" s="1122"/>
      <c r="AX11" s="1122"/>
      <c r="AY11" s="1122"/>
      <c r="AZ11" s="1122"/>
      <c r="BA11" s="1122"/>
      <c r="BB11" s="1122"/>
      <c r="BC11" s="1122"/>
      <c r="BD11" s="1122"/>
      <c r="BE11" s="1122"/>
      <c r="BF11" s="1122"/>
    </row>
    <row customHeight="1" ht="33.75">
      <c r="A12" s="899"/>
      <c r="B12" s="899"/>
      <c r="C12" s="899"/>
      <c r="E12" s="902"/>
      <c r="F12" s="2230"/>
      <c r="G12" s="2235"/>
      <c r="H12" s="2236"/>
      <c r="I12" s="1148" t="s">
        <v>88</v>
      </c>
      <c r="J12" s="1148" t="s">
        <v>920</v>
      </c>
      <c r="K12" s="1953"/>
      <c r="L12" s="2072"/>
      <c r="M12" s="2072"/>
      <c r="N12" s="1953"/>
      <c r="O12" s="1953"/>
      <c r="P12" s="2228"/>
      <c r="Q12" s="2228"/>
      <c r="R12" s="2228"/>
      <c r="S12" s="1129" t="s">
        <v>85</v>
      </c>
      <c r="T12" s="1129" t="s">
        <v>86</v>
      </c>
      <c r="U12" s="1129" t="s">
        <v>84</v>
      </c>
      <c r="V12" s="1129" t="s">
        <v>921</v>
      </c>
      <c r="W12" s="1129" t="s">
        <v>84</v>
      </c>
      <c r="X12" s="1129" t="s">
        <v>922</v>
      </c>
      <c r="Y12" s="1129" t="s">
        <v>923</v>
      </c>
      <c r="Z12" s="2019"/>
      <c r="AA12" s="2020"/>
      <c r="AB12" s="1136" t="s">
        <v>924</v>
      </c>
      <c r="AC12" s="1136" t="s">
        <v>925</v>
      </c>
      <c r="AD12" s="1136" t="s">
        <v>924</v>
      </c>
      <c r="AE12" s="1136" t="s">
        <v>925</v>
      </c>
      <c r="AF12" s="2072"/>
      <c r="AG12" s="1149" t="s">
        <v>926</v>
      </c>
      <c r="AH12" s="1149" t="s">
        <v>927</v>
      </c>
      <c r="AI12" s="2072"/>
      <c r="AJ12" s="1149" t="s">
        <v>926</v>
      </c>
      <c r="AK12" s="1149" t="s">
        <v>927</v>
      </c>
      <c r="AL12" s="1137"/>
      <c r="AM12" s="901"/>
      <c r="AN12" s="901"/>
      <c r="AO12" s="901"/>
      <c r="AP12" s="901"/>
      <c r="AQ12" s="901"/>
      <c r="AR12" s="901"/>
      <c r="AS12" s="901"/>
      <c r="AT12" s="901"/>
      <c r="AU12" s="901"/>
      <c r="AV12" s="901"/>
      <c r="AW12" s="901"/>
      <c r="AX12" s="901"/>
      <c r="AY12" s="901"/>
      <c r="AZ12" s="901"/>
      <c r="BA12" s="901"/>
      <c r="BB12" s="901"/>
      <c r="BC12" s="901"/>
      <c r="BD12" s="901"/>
      <c r="BE12" s="901"/>
      <c r="BF12" s="901"/>
    </row>
    <row customHeight="1" ht="0.75">
      <c r="E13" s="902"/>
      <c r="F13" s="1119">
        <v>0</v>
      </c>
      <c r="G13" s="1119"/>
      <c r="H13" s="1119"/>
      <c r="I13" s="1119"/>
      <c r="J13" s="1119"/>
      <c r="K13" s="1126"/>
      <c r="L13" s="1126"/>
      <c r="M13" s="1126"/>
      <c r="N13" s="1126"/>
      <c r="O13" s="1126"/>
      <c r="P13" s="1126"/>
      <c r="Q13" s="1126"/>
      <c r="R13" s="1126"/>
      <c r="S13" s="1126"/>
      <c r="T13" s="1126"/>
      <c r="U13" s="1126"/>
      <c r="V13" s="1126"/>
      <c r="W13" s="1126"/>
      <c r="X13" s="1126"/>
      <c r="Y13" s="1126"/>
      <c r="Z13" s="1126"/>
      <c r="AA13" s="1126"/>
      <c r="AB13" s="1126"/>
      <c r="AC13" s="1126"/>
      <c r="AD13" s="1126"/>
      <c r="AE13" s="1126"/>
      <c r="AF13" s="1126"/>
      <c r="AG13" s="1126"/>
      <c r="AH13" s="1144"/>
      <c r="AI13" s="1137"/>
      <c r="AJ13" s="1126"/>
      <c r="AK13" s="1126"/>
      <c r="AL13" s="903"/>
      <c r="AM13" s="901"/>
      <c r="AN13" s="901"/>
      <c r="AO13" s="901"/>
      <c r="AP13" s="901"/>
      <c r="AQ13" s="901"/>
      <c r="AR13" s="901"/>
      <c r="AS13" s="901"/>
      <c r="AT13" s="901"/>
      <c r="AU13" s="901"/>
      <c r="AV13" s="901"/>
      <c r="AW13" s="901"/>
      <c r="AX13" s="901"/>
      <c r="AY13" s="901"/>
      <c r="AZ13" s="901"/>
      <c r="BA13" s="901"/>
      <c r="BB13" s="901"/>
      <c r="BC13" s="901"/>
      <c r="BD13" s="901"/>
      <c r="BE13" s="901"/>
      <c r="BF13" s="901"/>
    </row>
    <row customHeight="1" ht="10.5">
      <c r="E14" s="901"/>
      <c r="F14" s="912"/>
      <c r="G14" s="912"/>
      <c r="H14" s="1168"/>
      <c r="I14" s="912"/>
      <c r="J14" s="912"/>
      <c r="K14" s="912"/>
      <c r="L14" s="1126"/>
      <c r="M14" s="1126"/>
      <c r="N14" s="912"/>
      <c r="O14" s="912"/>
      <c r="P14" s="912"/>
      <c r="Q14" s="912"/>
      <c r="R14" s="912"/>
      <c r="S14" s="912"/>
      <c r="T14" s="912"/>
      <c r="U14" s="912"/>
      <c r="V14" s="912"/>
      <c r="W14" s="912"/>
      <c r="X14" s="912"/>
      <c r="Y14" s="912"/>
      <c r="Z14" s="912"/>
      <c r="AA14" s="912"/>
      <c r="AB14" s="912"/>
      <c r="AC14" s="912"/>
      <c r="AD14" s="1126"/>
      <c r="AE14" s="912"/>
      <c r="AF14" s="912"/>
      <c r="AG14" s="912"/>
      <c r="AH14" s="1144"/>
      <c r="AI14" s="1137"/>
      <c r="AJ14" s="912"/>
      <c r="AK14" s="912"/>
      <c r="AL14" s="901"/>
      <c r="AM14" s="901"/>
      <c r="AN14" s="901"/>
      <c r="AO14" s="901"/>
      <c r="AP14" s="901"/>
      <c r="AQ14" s="901"/>
      <c r="AR14" s="901"/>
      <c r="AS14" s="901"/>
      <c r="AT14" s="901"/>
      <c r="AU14" s="901"/>
      <c r="AV14" s="901"/>
      <c r="AW14" s="901"/>
      <c r="AX14" s="901"/>
      <c r="AY14" s="901"/>
      <c r="AZ14" s="901"/>
      <c r="BA14" s="901"/>
      <c r="BB14" s="901"/>
      <c r="BC14" s="901"/>
      <c r="BD14" s="901"/>
      <c r="BE14" s="901"/>
      <c r="BF14" s="901"/>
    </row>
    <row customHeight="1" ht="12.75">
      <c r="E15" s="901"/>
      <c r="F15" s="908" t="s">
        <v>928</v>
      </c>
      <c r="G15" s="908"/>
      <c r="H15" s="1167"/>
      <c r="I15" s="908"/>
      <c r="J15" s="908"/>
      <c r="K15" s="905"/>
      <c r="L15" s="1122"/>
      <c r="M15" s="1122"/>
      <c r="N15" s="907"/>
      <c r="O15" s="907"/>
      <c r="P15" s="907"/>
      <c r="Q15" s="907"/>
      <c r="R15" s="907"/>
      <c r="S15" s="907"/>
      <c r="T15" s="907"/>
      <c r="U15" s="907"/>
      <c r="V15" s="907"/>
      <c r="W15" s="907"/>
      <c r="X15" s="907"/>
      <c r="Y15" s="907"/>
      <c r="Z15" s="905"/>
      <c r="AA15" s="905"/>
      <c r="AB15" s="905"/>
      <c r="AC15" s="905"/>
      <c r="AD15" s="1122"/>
      <c r="AE15" s="905"/>
      <c r="AF15" s="905"/>
      <c r="AG15" s="905"/>
      <c r="AH15" s="1141"/>
      <c r="AI15" s="1134"/>
      <c r="AJ15" s="905"/>
      <c r="AK15" s="905"/>
      <c r="AL15" s="901"/>
      <c r="AM15" s="901"/>
      <c r="AN15" s="901"/>
      <c r="AO15" s="901"/>
      <c r="AP15" s="901"/>
      <c r="AQ15" s="901"/>
      <c r="AR15" s="901"/>
      <c r="AS15" s="901"/>
      <c r="AT15" s="901"/>
      <c r="AU15" s="901"/>
      <c r="AV15" s="901"/>
      <c r="AW15" s="901"/>
      <c r="AX15" s="901"/>
      <c r="AY15" s="901"/>
      <c r="AZ15" s="901"/>
      <c r="BA15" s="901"/>
      <c r="BB15" s="901"/>
      <c r="BC15" s="901"/>
      <c r="BD15" s="901"/>
      <c r="BE15" s="901"/>
      <c r="BF15" s="901"/>
    </row>
    <row r="17" customHeight="1" ht="10.5">
      <c r="E17" s="901"/>
      <c r="F17" s="2229"/>
      <c r="G17" s="2229"/>
      <c r="H17" s="2229"/>
      <c r="I17" s="2229"/>
      <c r="J17" s="2229"/>
      <c r="K17" s="905"/>
      <c r="L17" s="1122"/>
      <c r="M17" s="1122"/>
      <c r="N17" s="907"/>
      <c r="O17" s="907"/>
      <c r="P17" s="907"/>
      <c r="Q17" s="907"/>
      <c r="R17" s="907"/>
      <c r="S17" s="907"/>
      <c r="T17" s="907"/>
      <c r="U17" s="907"/>
      <c r="V17" s="907"/>
      <c r="W17" s="907"/>
      <c r="X17" s="907"/>
      <c r="Y17" s="907"/>
      <c r="Z17" s="905"/>
      <c r="AA17" s="905"/>
      <c r="AB17" s="905"/>
      <c r="AC17" s="905"/>
      <c r="AD17" s="1122"/>
      <c r="AE17" s="905"/>
      <c r="AF17" s="905"/>
      <c r="AG17" s="905"/>
      <c r="AH17" s="1141"/>
      <c r="AI17" s="1134"/>
      <c r="AJ17" s="905"/>
      <c r="AK17" s="905"/>
      <c r="AL17" s="901"/>
      <c r="AM17" s="901"/>
      <c r="AN17" s="901"/>
      <c r="AO17" s="901"/>
      <c r="AP17" s="901"/>
      <c r="AQ17" s="901"/>
      <c r="AR17" s="901"/>
      <c r="AS17" s="901"/>
      <c r="AT17" s="901"/>
      <c r="AU17" s="901"/>
      <c r="AV17" s="901"/>
      <c r="AW17" s="901"/>
      <c r="AX17" s="901"/>
      <c r="AY17" s="901"/>
      <c r="AZ17" s="901"/>
      <c r="BA17" s="901"/>
      <c r="BB17" s="901"/>
      <c r="BC17" s="901"/>
      <c r="BD17" s="901"/>
      <c r="BE17" s="901"/>
      <c r="BF17" s="901"/>
    </row>
    <row customHeight="1" ht="10.5">
      <c r="E18" s="901"/>
      <c r="F18" s="2229"/>
      <c r="G18" s="2229"/>
      <c r="H18" s="2229"/>
      <c r="I18" s="2229"/>
      <c r="J18" s="2229"/>
      <c r="K18" s="905"/>
      <c r="L18" s="1122"/>
      <c r="M18" s="1122"/>
      <c r="N18" s="907"/>
      <c r="O18" s="907"/>
      <c r="P18" s="907"/>
      <c r="Q18" s="907"/>
      <c r="R18" s="907"/>
      <c r="S18" s="907"/>
      <c r="T18" s="907"/>
      <c r="U18" s="907"/>
      <c r="V18" s="907"/>
      <c r="W18" s="907"/>
      <c r="X18" s="907"/>
      <c r="Y18" s="907"/>
      <c r="Z18" s="905"/>
      <c r="AA18" s="905"/>
      <c r="AB18" s="905"/>
      <c r="AC18" s="905"/>
      <c r="AD18" s="1122"/>
      <c r="AE18" s="905"/>
      <c r="AF18" s="905"/>
      <c r="AG18" s="905"/>
      <c r="AH18" s="1141"/>
      <c r="AI18" s="1134"/>
      <c r="AJ18" s="905"/>
      <c r="AK18" s="905"/>
      <c r="AL18" s="901"/>
      <c r="AM18" s="901"/>
      <c r="AN18" s="901"/>
      <c r="AO18" s="901"/>
      <c r="AP18" s="901"/>
      <c r="AQ18" s="901"/>
      <c r="AR18" s="901"/>
      <c r="AS18" s="901"/>
      <c r="AT18" s="901"/>
      <c r="AU18" s="901"/>
      <c r="AV18" s="901"/>
      <c r="AW18" s="901"/>
      <c r="AX18" s="901"/>
      <c r="AY18" s="901"/>
      <c r="AZ18" s="901"/>
      <c r="BA18" s="901"/>
      <c r="BB18" s="901"/>
      <c r="BC18" s="901"/>
      <c r="BD18" s="901"/>
      <c r="BE18" s="901"/>
      <c r="BF18" s="901"/>
    </row>
    <row customHeight="1" ht="10.5">
      <c r="E19" s="901"/>
      <c r="F19" s="2229"/>
      <c r="G19" s="2229"/>
      <c r="H19" s="2229"/>
      <c r="I19" s="2229"/>
      <c r="J19" s="2229"/>
      <c r="K19" s="905"/>
      <c r="L19" s="1122"/>
      <c r="M19" s="1122"/>
      <c r="N19" s="907"/>
      <c r="O19" s="907"/>
      <c r="P19" s="907"/>
      <c r="Q19" s="907"/>
      <c r="R19" s="907"/>
      <c r="S19" s="907"/>
      <c r="T19" s="907"/>
      <c r="U19" s="907"/>
      <c r="V19" s="907"/>
      <c r="W19" s="907"/>
      <c r="X19" s="907"/>
      <c r="Y19" s="907"/>
      <c r="Z19" s="905"/>
      <c r="AA19" s="905"/>
      <c r="AB19" s="905"/>
      <c r="AC19" s="905"/>
      <c r="AD19" s="1122"/>
      <c r="AE19" s="905"/>
      <c r="AF19" s="905"/>
      <c r="AG19" s="905"/>
      <c r="AH19" s="1141"/>
      <c r="AI19" s="1134"/>
      <c r="AJ19" s="905"/>
      <c r="AK19" s="905"/>
      <c r="AL19" s="901"/>
      <c r="AM19" s="901"/>
      <c r="AN19" s="901"/>
      <c r="AO19" s="901"/>
      <c r="AP19" s="901"/>
      <c r="AQ19" s="901"/>
      <c r="AR19" s="901"/>
      <c r="AS19" s="901"/>
      <c r="AT19" s="901"/>
      <c r="AU19" s="901"/>
      <c r="AV19" s="901"/>
      <c r="AW19" s="901"/>
      <c r="AX19" s="901"/>
      <c r="AY19" s="901"/>
      <c r="AZ19" s="901"/>
      <c r="BA19" s="901"/>
      <c r="BB19" s="901"/>
      <c r="BC19" s="901"/>
      <c r="BD19" s="901"/>
      <c r="BE19" s="901"/>
      <c r="BF19" s="901"/>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8A3B59-5729-52EB-2905-698FC25D6FB5}"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1161" width="4.140625" hidden="1" customWidth="1"/>
    <col min="4" max="4" style="1383" width="4.140625" hidden="1" customWidth="1"/>
    <col min="5" max="5" style="1660" width="3.7109375" customWidth="1"/>
    <col min="6" max="6" style="1660" width="6.28125" customWidth="1"/>
    <col min="7" max="7" style="1660" width="60.140625" customWidth="1"/>
    <col min="8" max="9" style="1660" width="21.7109375" hidden="1" customWidth="1"/>
    <col min="10" max="10" style="1660" width="0.140625" customWidth="1"/>
    <col min="11" max="11" style="1660" width="1.7109375" customWidth="1"/>
    <col min="12" max="22" style="1660" width="9.140625"/>
  </cols>
  <sheetData>
    <row s="1383" customFormat="1" customHeight="1" ht="10.5" hidden="1">
      <c r="A1" s="1161"/>
      <c r="B1" s="1161"/>
      <c r="C1" s="1161"/>
      <c r="E1" s="533"/>
    </row>
    <row customHeight="1" ht="10.5" hidden="1"/>
    <row s="1657" customFormat="1" customHeight="1" ht="10.5" hidden="1">
      <c r="A3" s="1161"/>
      <c r="B3" s="1161"/>
      <c r="C3" s="1161"/>
      <c r="D3" s="1155"/>
      <c r="E3" s="352"/>
    </row>
    <row customHeight="1" ht="3"/>
    <row customHeight="1" ht="25.5">
      <c r="F5" s="2122"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22"/>
      <c r="H5" s="2122"/>
      <c r="I5" s="2122"/>
      <c r="J5" s="2122"/>
    </row>
    <row customHeight="1" ht="10.5">
      <c r="F6" s="2035" t="str">
        <f>IF(org=0,"Не определено",org)</f>
        <v>ООО "ПРОМ ИМПУЛЬС"</v>
      </c>
      <c r="G6" s="2035"/>
      <c r="H6" s="2035"/>
      <c r="I6" s="2035"/>
      <c r="J6" s="2035"/>
    </row>
    <row customHeight="1" ht="11.25">
      <c r="E7" s="1165"/>
      <c r="F7" s="1232"/>
      <c r="G7" s="1232"/>
      <c r="H7" s="1232"/>
      <c r="I7" s="1232"/>
      <c r="J7" s="1232"/>
      <c r="K7" s="1152"/>
      <c r="L7" s="1152"/>
      <c r="M7" s="1152"/>
      <c r="N7" s="1152"/>
      <c r="O7" s="1152"/>
      <c r="P7" s="1152"/>
      <c r="Q7" s="1152"/>
      <c r="R7" s="1152"/>
      <c r="S7" s="1152"/>
      <c r="T7" s="1152"/>
      <c r="U7" s="1152"/>
      <c r="V7" s="1152"/>
    </row>
    <row s="1667" customFormat="1" customHeight="1" ht="5.25">
      <c r="A8" s="1162"/>
      <c r="B8" s="1162"/>
      <c r="C8" s="1162"/>
      <c r="E8" s="1233"/>
      <c r="F8" s="1234"/>
      <c r="G8" s="1234"/>
      <c r="H8" s="1234"/>
      <c r="I8" s="1234"/>
      <c r="J8" s="1234"/>
      <c r="K8" s="1233"/>
      <c r="L8" s="1233"/>
      <c r="M8" s="1233"/>
      <c r="N8" s="1233"/>
      <c r="O8" s="1233"/>
      <c r="P8" s="1233"/>
      <c r="Q8" s="1233"/>
      <c r="R8" s="1233"/>
      <c r="S8" s="1233"/>
      <c r="T8" s="1233"/>
      <c r="U8" s="1233"/>
      <c r="V8" s="1233"/>
    </row>
    <row customHeight="1" ht="10.5">
      <c r="E9" s="1165"/>
      <c r="F9" s="2240" t="s">
        <v>305</v>
      </c>
      <c r="G9" s="2241"/>
      <c r="H9" s="2241"/>
      <c r="I9" s="2241"/>
      <c r="J9" s="2241"/>
      <c r="K9" s="1245"/>
      <c r="L9" s="1152"/>
      <c r="M9" s="1152"/>
      <c r="N9" s="1152"/>
      <c r="O9" s="1152"/>
      <c r="P9" s="1152"/>
      <c r="Q9" s="1152"/>
      <c r="R9" s="1152"/>
      <c r="S9" s="1152"/>
      <c r="T9" s="1152"/>
      <c r="U9" s="1152"/>
      <c r="V9" s="1152"/>
    </row>
    <row customHeight="1" ht="24">
      <c r="E10" s="1152"/>
      <c r="F10" s="2244" t="s">
        <v>87</v>
      </c>
      <c r="G10" s="2249" t="s">
        <v>929</v>
      </c>
      <c r="H10" s="2247" t="s">
        <v>930</v>
      </c>
      <c r="I10" s="2247"/>
      <c r="J10" s="2247"/>
      <c r="K10" s="1238"/>
      <c r="L10" s="1152"/>
      <c r="M10" s="1152"/>
      <c r="N10" s="1152"/>
      <c r="O10" s="1152"/>
      <c r="P10" s="1152"/>
      <c r="Q10" s="1152"/>
      <c r="R10" s="1152"/>
      <c r="S10" s="1152"/>
      <c r="T10" s="1152"/>
      <c r="U10" s="1152"/>
      <c r="V10" s="1152"/>
    </row>
    <row customHeight="1" ht="24">
      <c r="E11" s="1152"/>
      <c r="F11" s="2245"/>
      <c r="G11" s="2249"/>
      <c r="H11" s="2248">
        <f>INDEX(IP_MAIN_LIST_NAME_IP,MATCH(H8,IP_MAIN_LIST_IP_ID,0))&amp;" ("&amp;INDEX(IP_MAIN_START_DATE,MATCH(H8,IP_MAIN_LIST_IP_ID,0))&amp;"-"&amp;INDEX(IP_MAIN_END_DATE,MATCH(H8,IP_MAIN_LIST_IP_ID,0))&amp;")"</f>
      </c>
      <c r="I11" s="2248"/>
      <c r="J11" s="2248"/>
      <c r="K11" s="1238"/>
      <c r="L11" s="1152"/>
      <c r="M11" s="1152"/>
      <c r="N11" s="1152"/>
      <c r="O11" s="1152"/>
      <c r="P11" s="1152"/>
      <c r="Q11" s="1152"/>
      <c r="R11" s="1152"/>
      <c r="S11" s="1152"/>
      <c r="T11" s="1152"/>
      <c r="U11" s="1152"/>
      <c r="V11" s="1152"/>
    </row>
    <row customHeight="1" ht="10.5">
      <c r="F12" s="2246"/>
      <c r="G12" s="2249"/>
      <c r="H12" s="1231" t="s">
        <v>931</v>
      </c>
      <c r="I12" s="1237"/>
      <c r="J12" s="1231"/>
      <c r="K12" s="1239"/>
    </row>
    <row customHeight="1" ht="10.5" hidden="1">
      <c r="F13" s="1231">
        <v>1</v>
      </c>
      <c r="G13" s="1231">
        <v>2</v>
      </c>
      <c r="H13" s="1231">
        <v>3</v>
      </c>
      <c r="I13" s="1231">
        <v>4</v>
      </c>
      <c r="J13" s="1231">
        <v>5</v>
      </c>
      <c r="K13" s="1239"/>
    </row>
    <row customHeight="1" ht="11.25">
      <c r="F14" s="1230" t="s">
        <v>932</v>
      </c>
      <c r="G14" s="2242" t="s">
        <v>933</v>
      </c>
      <c r="H14" s="2242"/>
      <c r="I14" s="2242"/>
      <c r="J14" s="2242"/>
      <c r="K14" s="1239"/>
    </row>
    <row customHeight="1" ht="11.25">
      <c r="F15" s="1235">
        <v>1</v>
      </c>
      <c r="G15" s="685" t="s">
        <v>934</v>
      </c>
      <c r="H15" s="1241">
        <f>SUM(I15:J15)</f>
        <v>0</v>
      </c>
      <c r="I15" s="1241">
        <f>SUM(I16:I27)</f>
        <v>0</v>
      </c>
      <c r="J15" s="1230"/>
      <c r="K15" s="1239"/>
    </row>
    <row customHeight="1" ht="22.5">
      <c r="F16" s="1235" t="s">
        <v>935</v>
      </c>
      <c r="G16" s="1242" t="s">
        <v>936</v>
      </c>
      <c r="H16" s="1241">
        <f>SUM(I16:J16)</f>
        <v>0</v>
      </c>
      <c r="I16" s="1240"/>
      <c r="J16" s="1230"/>
      <c r="K16" s="1239"/>
    </row>
    <row customHeight="1" ht="22.5">
      <c r="F17" s="1235" t="s">
        <v>937</v>
      </c>
      <c r="G17" s="1242" t="s">
        <v>938</v>
      </c>
      <c r="H17" s="1241">
        <f>SUM(I17:J17)</f>
        <v>0</v>
      </c>
      <c r="I17" s="1240"/>
      <c r="J17" s="1230"/>
      <c r="K17" s="1239"/>
    </row>
    <row customHeight="1" ht="33.75">
      <c r="F18" s="1235" t="s">
        <v>939</v>
      </c>
      <c r="G18" s="1242" t="s">
        <v>940</v>
      </c>
      <c r="H18" s="1241">
        <f>SUM(I18:J18)</f>
        <v>0</v>
      </c>
      <c r="I18" s="1240"/>
      <c r="J18" s="1230"/>
      <c r="K18" s="1239"/>
    </row>
    <row customHeight="1" ht="33.75">
      <c r="F19" s="1235" t="s">
        <v>941</v>
      </c>
      <c r="G19" s="1242" t="s">
        <v>942</v>
      </c>
      <c r="H19" s="1241">
        <f>SUM(I19:J19)</f>
        <v>0</v>
      </c>
      <c r="I19" s="1240"/>
      <c r="J19" s="1230"/>
      <c r="K19" s="1239"/>
    </row>
    <row customHeight="1" ht="45">
      <c r="F20" s="1235" t="s">
        <v>943</v>
      </c>
      <c r="G20" s="1242" t="s">
        <v>944</v>
      </c>
      <c r="H20" s="1241">
        <f>SUM(I20:J20)</f>
        <v>0</v>
      </c>
      <c r="I20" s="1240"/>
      <c r="J20" s="1230"/>
      <c r="K20" s="1239"/>
    </row>
    <row customHeight="1" ht="33.75">
      <c r="F21" s="1235" t="s">
        <v>945</v>
      </c>
      <c r="G21" s="1242" t="s">
        <v>946</v>
      </c>
      <c r="H21" s="1241">
        <f>SUM(I21:J21)</f>
        <v>0</v>
      </c>
      <c r="I21" s="1240"/>
      <c r="J21" s="1230"/>
      <c r="K21" s="1239"/>
    </row>
    <row customHeight="1" ht="33.75">
      <c r="F22" s="1235" t="s">
        <v>947</v>
      </c>
      <c r="G22" s="1242" t="s">
        <v>948</v>
      </c>
      <c r="H22" s="1241">
        <f>SUM(I22:J22)</f>
        <v>0</v>
      </c>
      <c r="I22" s="1240"/>
      <c r="J22" s="1230"/>
      <c r="K22" s="1239"/>
    </row>
    <row customHeight="1" ht="22.5">
      <c r="F23" s="1235" t="s">
        <v>949</v>
      </c>
      <c r="G23" s="1242" t="s">
        <v>950</v>
      </c>
      <c r="H23" s="1241">
        <f>SUM(I23:J23)</f>
        <v>0</v>
      </c>
      <c r="I23" s="1240"/>
      <c r="J23" s="1230"/>
      <c r="K23" s="1239"/>
    </row>
    <row customHeight="1" ht="22.5">
      <c r="F24" s="1235" t="s">
        <v>951</v>
      </c>
      <c r="G24" s="1242" t="s">
        <v>952</v>
      </c>
      <c r="H24" s="1241">
        <f>SUM(I24:J24)</f>
        <v>0</v>
      </c>
      <c r="I24" s="1240"/>
      <c r="J24" s="1230"/>
      <c r="K24" s="1239"/>
    </row>
    <row customHeight="1" ht="33.75">
      <c r="F25" s="1235" t="s">
        <v>953</v>
      </c>
      <c r="G25" s="1242" t="s">
        <v>954</v>
      </c>
      <c r="H25" s="1241">
        <f>SUM(I25:J25)</f>
        <v>0</v>
      </c>
      <c r="I25" s="1240"/>
      <c r="J25" s="1230"/>
      <c r="K25" s="1239"/>
    </row>
    <row customHeight="1" ht="33.75">
      <c r="F26" s="1235" t="s">
        <v>955</v>
      </c>
      <c r="G26" s="1242" t="s">
        <v>956</v>
      </c>
      <c r="H26" s="1241">
        <f>SUM(I26:J26)</f>
        <v>0</v>
      </c>
      <c r="I26" s="1240"/>
      <c r="J26" s="1230"/>
      <c r="K26" s="1239"/>
    </row>
    <row customHeight="1" ht="11.25">
      <c r="F27" s="1235" t="s">
        <v>957</v>
      </c>
      <c r="G27" s="1242" t="s">
        <v>958</v>
      </c>
      <c r="H27" s="1241">
        <f>SUM(I27:J27)</f>
        <v>0</v>
      </c>
      <c r="I27" s="1240"/>
      <c r="J27" s="1230"/>
      <c r="K27" s="1239"/>
    </row>
    <row customHeight="1" ht="11.25">
      <c r="F28" s="1235">
        <v>2</v>
      </c>
      <c r="G28" s="685" t="s">
        <v>959</v>
      </c>
      <c r="H28" s="1241">
        <f>SUM(I28:J28)</f>
        <v>0</v>
      </c>
      <c r="I28" s="1241">
        <f>SUM(I29:I31)</f>
        <v>0</v>
      </c>
      <c r="J28" s="1230"/>
      <c r="K28" s="1239"/>
    </row>
    <row customHeight="1" ht="11.25">
      <c r="F29" s="1235" t="s">
        <v>621</v>
      </c>
      <c r="G29" s="1242" t="s">
        <v>960</v>
      </c>
      <c r="H29" s="1241">
        <f>SUM(I29:J29)</f>
        <v>0</v>
      </c>
      <c r="I29" s="1240"/>
      <c r="J29" s="1230"/>
      <c r="K29" s="1239"/>
    </row>
    <row customHeight="1" ht="11.25">
      <c r="F30" s="1235" t="s">
        <v>312</v>
      </c>
      <c r="G30" s="1242" t="s">
        <v>961</v>
      </c>
      <c r="H30" s="1241">
        <f>SUM(I30:J30)</f>
        <v>0</v>
      </c>
      <c r="I30" s="1240"/>
      <c r="J30" s="1230"/>
      <c r="K30" s="1239"/>
    </row>
    <row customHeight="1" ht="11.25">
      <c r="F31" s="1235" t="s">
        <v>315</v>
      </c>
      <c r="G31" s="1242" t="s">
        <v>962</v>
      </c>
      <c r="H31" s="1241">
        <f>SUM(I31:J31)</f>
        <v>0</v>
      </c>
      <c r="I31" s="1240"/>
      <c r="J31" s="1230"/>
      <c r="K31" s="1239"/>
    </row>
    <row customHeight="1" ht="11.25">
      <c r="F32" s="1235">
        <v>3</v>
      </c>
      <c r="G32" s="685" t="s">
        <v>963</v>
      </c>
      <c r="H32" s="1241">
        <f>SUM(I32:J32)</f>
        <v>0</v>
      </c>
      <c r="I32" s="1241">
        <f>SUM(I33:I34)</f>
        <v>0</v>
      </c>
      <c r="J32" s="1230"/>
      <c r="K32" s="1239"/>
    </row>
    <row customHeight="1" ht="33.75">
      <c r="F33" s="1235" t="s">
        <v>331</v>
      </c>
      <c r="G33" s="1242" t="s">
        <v>964</v>
      </c>
      <c r="H33" s="1241">
        <f>SUM(I33:J33)</f>
        <v>0</v>
      </c>
      <c r="I33" s="1240"/>
      <c r="J33" s="1230"/>
      <c r="K33" s="1239"/>
    </row>
    <row customHeight="1" ht="11.25">
      <c r="F34" s="1235" t="s">
        <v>339</v>
      </c>
      <c r="G34" s="1242" t="s">
        <v>965</v>
      </c>
      <c r="H34" s="1241">
        <f>SUM(I34:J34)</f>
        <v>0</v>
      </c>
      <c r="I34" s="1240"/>
      <c r="J34" s="1230"/>
      <c r="K34" s="1239"/>
    </row>
    <row customHeight="1" ht="11.25">
      <c r="F35" s="1235">
        <v>4</v>
      </c>
      <c r="G35" s="685" t="s">
        <v>966</v>
      </c>
      <c r="H35" s="1241">
        <f>SUM(I35:J35)</f>
        <v>0</v>
      </c>
      <c r="I35" s="1240"/>
      <c r="J35" s="1230"/>
      <c r="K35" s="1239"/>
    </row>
    <row customHeight="1" ht="11.25">
      <c r="F36" s="1235"/>
      <c r="G36" s="688" t="s">
        <v>967</v>
      </c>
      <c r="H36" s="1241">
        <f>SUM(I36:J36)</f>
        <v>0</v>
      </c>
      <c r="I36" s="1241">
        <f>SUM(I15,I28,I32,I35)</f>
        <v>0</v>
      </c>
      <c r="J36" s="1230"/>
      <c r="K36" s="1239"/>
    </row>
    <row customHeight="1" ht="27.75">
      <c r="F37" s="1236" t="s">
        <v>968</v>
      </c>
      <c r="G37" s="2243" t="s">
        <v>969</v>
      </c>
      <c r="H37" s="2243"/>
      <c r="I37" s="2243"/>
      <c r="J37" s="2243"/>
      <c r="K37" s="1239"/>
    </row>
    <row customHeight="1" ht="22.5">
      <c r="F38" s="1235" t="s">
        <v>108</v>
      </c>
      <c r="G38" s="685" t="s">
        <v>970</v>
      </c>
      <c r="H38" s="1241">
        <f>SUM(I38:J38)</f>
        <v>0</v>
      </c>
      <c r="I38" s="1241">
        <f>SUM(I39,I44,I47)</f>
        <v>0</v>
      </c>
      <c r="J38" s="1230"/>
      <c r="K38" s="1239"/>
    </row>
    <row customHeight="1" ht="11.25">
      <c r="F39" s="1235" t="s">
        <v>935</v>
      </c>
      <c r="G39" s="1242" t="s">
        <v>934</v>
      </c>
      <c r="H39" s="1241">
        <f>SUM(I39:J39)</f>
        <v>0</v>
      </c>
      <c r="I39" s="1241">
        <f>SUM(I40:I43)</f>
        <v>0</v>
      </c>
      <c r="J39" s="1230"/>
      <c r="K39" s="1239"/>
    </row>
    <row customHeight="1" ht="22.5">
      <c r="F40" s="1235" t="s">
        <v>971</v>
      </c>
      <c r="G40" s="1243" t="s">
        <v>972</v>
      </c>
      <c r="H40" s="1241">
        <f>SUM(I40:J40)</f>
        <v>0</v>
      </c>
      <c r="I40" s="1240"/>
      <c r="J40" s="1230"/>
      <c r="K40" s="1239"/>
    </row>
    <row customHeight="1" ht="11.25">
      <c r="F41" s="1235" t="s">
        <v>973</v>
      </c>
      <c r="G41" s="1243" t="s">
        <v>974</v>
      </c>
      <c r="H41" s="1241">
        <f>SUM(I41:J41)</f>
        <v>0</v>
      </c>
      <c r="I41" s="1240"/>
      <c r="J41" s="1230"/>
      <c r="K41" s="1239"/>
    </row>
    <row customHeight="1" ht="11.25">
      <c r="F42" s="1235" t="s">
        <v>975</v>
      </c>
      <c r="G42" s="1243" t="s">
        <v>976</v>
      </c>
      <c r="H42" s="1241">
        <f>SUM(I42:J42)</f>
        <v>0</v>
      </c>
      <c r="I42" s="1240"/>
      <c r="J42" s="1230"/>
      <c r="K42" s="1239"/>
    </row>
    <row customHeight="1" ht="33.75">
      <c r="F43" s="1235" t="s">
        <v>977</v>
      </c>
      <c r="G43" s="1243" t="s">
        <v>978</v>
      </c>
      <c r="H43" s="1241">
        <f>SUM(I43:J43)</f>
        <v>0</v>
      </c>
      <c r="I43" s="1240"/>
      <c r="J43" s="1230"/>
      <c r="K43" s="1239"/>
    </row>
    <row customHeight="1" ht="11.25">
      <c r="F44" s="1235" t="s">
        <v>937</v>
      </c>
      <c r="G44" s="1242" t="s">
        <v>963</v>
      </c>
      <c r="H44" s="1241">
        <f>SUM(I44:J44)</f>
        <v>0</v>
      </c>
      <c r="I44" s="1241">
        <f>SUM(I45:I46)</f>
        <v>0</v>
      </c>
      <c r="J44" s="1230"/>
      <c r="K44" s="1239"/>
    </row>
    <row customHeight="1" ht="45">
      <c r="F45" s="1235" t="s">
        <v>979</v>
      </c>
      <c r="G45" s="1243" t="s">
        <v>964</v>
      </c>
      <c r="H45" s="1241">
        <f>SUM(I45:J45)</f>
        <v>0</v>
      </c>
      <c r="I45" s="1240"/>
      <c r="J45" s="1230"/>
      <c r="K45" s="1239"/>
    </row>
    <row customHeight="1" ht="11.25">
      <c r="F46" s="1235" t="s">
        <v>980</v>
      </c>
      <c r="G46" s="1243" t="s">
        <v>965</v>
      </c>
      <c r="H46" s="1241">
        <f>SUM(I46:J46)</f>
        <v>0</v>
      </c>
      <c r="I46" s="1240"/>
      <c r="J46" s="1230"/>
      <c r="K46" s="1239"/>
    </row>
    <row customHeight="1" ht="11.25">
      <c r="F47" s="1235" t="s">
        <v>939</v>
      </c>
      <c r="G47" s="1242" t="s">
        <v>981</v>
      </c>
      <c r="H47" s="1241">
        <f>SUM(I47:J47)</f>
        <v>0</v>
      </c>
      <c r="I47" s="1240"/>
      <c r="J47" s="1230"/>
      <c r="K47" s="1239"/>
    </row>
    <row customHeight="1" ht="22.5">
      <c r="F48" s="1235" t="s">
        <v>109</v>
      </c>
      <c r="G48" s="685" t="s">
        <v>982</v>
      </c>
      <c r="H48" s="1241">
        <f>SUM(I48:J48)</f>
        <v>0</v>
      </c>
      <c r="I48" s="1241">
        <f>SUM(I49,I54,I57)</f>
        <v>0</v>
      </c>
      <c r="J48" s="1230"/>
      <c r="K48" s="1239"/>
    </row>
    <row customHeight="1" ht="11.25">
      <c r="F49" s="1235" t="s">
        <v>621</v>
      </c>
      <c r="G49" s="1242" t="s">
        <v>934</v>
      </c>
      <c r="H49" s="1241">
        <f>SUM(I49:J49)</f>
        <v>0</v>
      </c>
      <c r="I49" s="1241">
        <f>SUM(I50:I53)</f>
        <v>0</v>
      </c>
      <c r="J49" s="1230"/>
      <c r="K49" s="1239"/>
    </row>
    <row customHeight="1" ht="22.5">
      <c r="F50" s="1235" t="s">
        <v>624</v>
      </c>
      <c r="G50" s="1243" t="s">
        <v>972</v>
      </c>
      <c r="H50" s="1241">
        <f>SUM(I50:J50)</f>
        <v>0</v>
      </c>
      <c r="I50" s="1240"/>
      <c r="J50" s="1230"/>
      <c r="K50" s="1239"/>
    </row>
    <row customHeight="1" ht="11.25">
      <c r="F51" s="1235" t="s">
        <v>627</v>
      </c>
      <c r="G51" s="1243" t="s">
        <v>974</v>
      </c>
      <c r="H51" s="1241">
        <f>SUM(I51:J51)</f>
        <v>0</v>
      </c>
      <c r="I51" s="1240"/>
      <c r="J51" s="1230"/>
      <c r="K51" s="1239"/>
    </row>
    <row customHeight="1" ht="11.25">
      <c r="F52" s="1235" t="s">
        <v>983</v>
      </c>
      <c r="G52" s="1243" t="s">
        <v>976</v>
      </c>
      <c r="H52" s="1241">
        <f>SUM(I52:J52)</f>
        <v>0</v>
      </c>
      <c r="I52" s="1240"/>
      <c r="J52" s="1230"/>
      <c r="K52" s="1239"/>
    </row>
    <row customHeight="1" ht="33.75">
      <c r="F53" s="1235" t="s">
        <v>984</v>
      </c>
      <c r="G53" s="1243" t="s">
        <v>978</v>
      </c>
      <c r="H53" s="1241">
        <f>SUM(I53:J53)</f>
        <v>0</v>
      </c>
      <c r="I53" s="1240"/>
      <c r="J53" s="1230"/>
      <c r="K53" s="1239"/>
    </row>
    <row customHeight="1" ht="11.25">
      <c r="F54" s="1235" t="s">
        <v>312</v>
      </c>
      <c r="G54" s="1242" t="s">
        <v>963</v>
      </c>
      <c r="H54" s="1241">
        <f>SUM(I54:J54)</f>
        <v>0</v>
      </c>
      <c r="I54" s="1241">
        <f>SUM(I55:I56)</f>
        <v>0</v>
      </c>
      <c r="J54" s="1230"/>
      <c r="K54" s="1239"/>
    </row>
    <row customHeight="1" ht="45">
      <c r="F55" s="1235" t="s">
        <v>631</v>
      </c>
      <c r="G55" s="1243" t="s">
        <v>964</v>
      </c>
      <c r="H55" s="1241">
        <f>SUM(I55:J55)</f>
        <v>0</v>
      </c>
      <c r="I55" s="1240"/>
      <c r="J55" s="1230"/>
      <c r="K55" s="1239"/>
    </row>
    <row customHeight="1" ht="11.25">
      <c r="F56" s="1235" t="s">
        <v>633</v>
      </c>
      <c r="G56" s="1243" t="s">
        <v>965</v>
      </c>
      <c r="H56" s="1241">
        <f>SUM(I56:J56)</f>
        <v>0</v>
      </c>
      <c r="I56" s="1240"/>
      <c r="J56" s="1230"/>
      <c r="K56" s="1239"/>
    </row>
    <row customHeight="1" ht="11.25">
      <c r="F57" s="1235" t="s">
        <v>315</v>
      </c>
      <c r="G57" s="1242" t="s">
        <v>981</v>
      </c>
      <c r="H57" s="1241">
        <f>SUM(I57:J57)</f>
        <v>0</v>
      </c>
      <c r="I57" s="1240"/>
      <c r="J57" s="1230"/>
      <c r="K57" s="1239"/>
    </row>
    <row customHeight="1" ht="11.25">
      <c r="F58" s="1235"/>
      <c r="G58" s="1244" t="s">
        <v>967</v>
      </c>
      <c r="H58" s="1241">
        <f>SUM(I58:J58)</f>
        <v>0</v>
      </c>
      <c r="I58" s="1241">
        <f>SUM(I38,I48)</f>
        <v>0</v>
      </c>
      <c r="J58" s="1230"/>
      <c r="K58" s="1239"/>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B60AEB-AAA9-4EA4-04B8-4FA286CC20AC}"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1058" width="4.7109375" hidden="1" customWidth="1"/>
    <col min="2" max="2" style="930" width="4.7109375" hidden="1" customWidth="1"/>
    <col min="3" max="4" style="1058" width="4.7109375" hidden="1" customWidth="1"/>
    <col min="5" max="5" style="1058" width="3.57421875" customWidth="1"/>
    <col min="6" max="6" style="1058" width="6.7109375" customWidth="1"/>
    <col min="7" max="7" style="1058" width="18.7109375" customWidth="1"/>
    <col min="8" max="8" style="1058" width="27.28125" customWidth="1"/>
    <col min="9" max="9" style="1058" width="18.7109375" customWidth="1"/>
    <col min="10" max="14" style="1058" width="0.8515625" hidden="1" customWidth="1"/>
    <col min="15" max="28" style="1058" width="21.7109375" customWidth="1"/>
    <col min="29" max="71" style="1058" width="0.8515625" customWidth="1"/>
    <col min="72" max="79" style="1058" width="21.7109375" hidden="1" customWidth="1"/>
    <col min="80" max="81" style="1058" width="29.140625" hidden="1" customWidth="1"/>
    <col min="82" max="89" style="1058" width="21.7109375" hidden="1" customWidth="1"/>
    <col min="90" max="102" style="1058" width="0.7109375" hidden="1" customWidth="1"/>
    <col min="103" max="114" style="1058" width="21.7109375" hidden="1" customWidth="1"/>
    <col min="115" max="178" style="1058" width="0.7109375" hidden="1" customWidth="1"/>
    <col min="179" max="179" style="1058" width="0.140625" customWidth="1"/>
    <col min="180" max="184" style="1058" width="9.140625"/>
  </cols>
  <sheetData>
    <row s="919" customFormat="1" customHeight="1" ht="12" hidden="1">
      <c r="B1" s="917"/>
      <c r="C1" s="918"/>
      <c r="D1" s="918"/>
    </row>
    <row s="919" customFormat="1" customHeight="1" ht="12" hidden="1">
      <c r="B2" s="917"/>
      <c r="C2" s="918"/>
      <c r="D2" s="918"/>
      <c r="E2" s="918"/>
      <c r="F2" s="918"/>
      <c r="G2" s="918"/>
      <c r="H2" s="918"/>
      <c r="I2" s="918"/>
      <c r="J2" s="918"/>
      <c r="K2" s="918"/>
      <c r="L2" s="918"/>
      <c r="M2" s="918"/>
      <c r="N2" s="918"/>
      <c r="O2" s="918"/>
      <c r="P2" s="918"/>
      <c r="Q2" s="918"/>
      <c r="R2" s="918"/>
      <c r="S2" s="918"/>
      <c r="T2" s="918"/>
      <c r="U2" s="918"/>
      <c r="V2" s="918"/>
      <c r="W2" s="918"/>
      <c r="X2" s="918"/>
      <c r="Y2" s="918"/>
      <c r="Z2" s="918"/>
      <c r="AA2" s="918"/>
      <c r="AB2" s="919"/>
      <c r="AC2" s="918"/>
      <c r="AD2" s="918"/>
      <c r="AE2" s="918"/>
      <c r="AF2" s="918"/>
      <c r="AG2" s="918"/>
      <c r="AH2" s="918"/>
      <c r="AI2" s="918"/>
      <c r="AJ2" s="918"/>
      <c r="AK2" s="918"/>
      <c r="AL2" s="918"/>
      <c r="AM2" s="918"/>
      <c r="AN2" s="918"/>
      <c r="AO2" s="918"/>
      <c r="AP2" s="918"/>
      <c r="AQ2" s="918"/>
      <c r="AR2" s="918"/>
      <c r="AS2" s="918"/>
      <c r="AT2" s="918"/>
      <c r="AU2" s="918"/>
      <c r="AV2" s="918"/>
      <c r="AW2" s="918"/>
      <c r="AX2" s="918"/>
      <c r="AY2" s="918"/>
      <c r="AZ2" s="918"/>
      <c r="BA2" s="918"/>
      <c r="BB2" s="918"/>
      <c r="BC2" s="918"/>
      <c r="BD2" s="918"/>
      <c r="BE2" s="918"/>
      <c r="BF2" s="918"/>
      <c r="BG2" s="918"/>
      <c r="BH2" s="918"/>
      <c r="BI2" s="918"/>
      <c r="BJ2" s="918"/>
      <c r="BK2" s="918"/>
      <c r="BL2" s="918"/>
      <c r="BM2" s="918"/>
      <c r="BN2" s="918"/>
      <c r="BO2" s="918"/>
      <c r="BP2" s="918"/>
      <c r="BQ2" s="918"/>
      <c r="BR2" s="918"/>
      <c r="BS2" s="918"/>
      <c r="BT2" s="918"/>
      <c r="BU2" s="918"/>
      <c r="BV2" s="918"/>
      <c r="BW2" s="918"/>
      <c r="BX2" s="918"/>
      <c r="BY2" s="918"/>
      <c r="BZ2" s="918"/>
      <c r="CA2" s="918"/>
      <c r="CB2" s="918"/>
      <c r="CC2" s="918"/>
      <c r="CD2" s="918"/>
      <c r="CE2" s="918"/>
      <c r="CF2" s="918"/>
      <c r="CG2" s="918"/>
      <c r="CH2" s="918"/>
      <c r="CI2" s="918"/>
      <c r="CJ2" s="918"/>
      <c r="CK2" s="918"/>
      <c r="CL2" s="918"/>
      <c r="CM2" s="918"/>
      <c r="CN2" s="918"/>
      <c r="CO2" s="918"/>
      <c r="CP2" s="918"/>
      <c r="CQ2" s="918"/>
      <c r="CR2" s="918"/>
      <c r="CS2" s="918"/>
      <c r="CT2" s="918"/>
      <c r="CU2" s="918"/>
      <c r="CV2" s="918"/>
      <c r="CW2" s="918"/>
      <c r="CX2" s="918"/>
      <c r="CY2" s="918"/>
      <c r="CZ2" s="918"/>
      <c r="DA2" s="918"/>
      <c r="DB2" s="918"/>
      <c r="DC2" s="918"/>
      <c r="DD2" s="918"/>
      <c r="DE2" s="918"/>
      <c r="DF2" s="918"/>
      <c r="DG2" s="918"/>
      <c r="DH2" s="918"/>
      <c r="DI2" s="918"/>
      <c r="DJ2" s="918"/>
      <c r="DK2" s="918"/>
      <c r="DL2" s="918"/>
      <c r="DM2" s="918"/>
      <c r="DN2" s="918"/>
      <c r="DO2" s="918"/>
      <c r="DP2" s="918"/>
      <c r="DQ2" s="918"/>
      <c r="DR2" s="918"/>
      <c r="DS2" s="918"/>
      <c r="DT2" s="918"/>
      <c r="DU2" s="918"/>
      <c r="DV2" s="918"/>
      <c r="DW2" s="918"/>
      <c r="DX2" s="918"/>
      <c r="DY2" s="918"/>
      <c r="DZ2" s="918"/>
      <c r="EA2" s="918"/>
      <c r="EB2" s="918"/>
      <c r="EC2" s="918"/>
      <c r="ED2" s="918"/>
      <c r="EE2" s="918"/>
      <c r="EF2" s="918"/>
      <c r="EG2" s="918"/>
      <c r="EH2" s="918"/>
      <c r="EI2" s="918"/>
      <c r="EJ2" s="918"/>
      <c r="EK2" s="918"/>
      <c r="EL2" s="918"/>
      <c r="EM2" s="918"/>
      <c r="EN2" s="918"/>
      <c r="EO2" s="918"/>
      <c r="EP2" s="918"/>
      <c r="EQ2" s="918"/>
      <c r="ER2" s="918"/>
      <c r="ES2" s="918"/>
      <c r="ET2" s="918"/>
      <c r="EU2" s="918"/>
      <c r="EV2" s="918"/>
      <c r="EW2" s="918"/>
      <c r="EX2" s="918"/>
      <c r="EY2" s="918"/>
      <c r="EZ2" s="918"/>
      <c r="FA2" s="918"/>
      <c r="FB2" s="918"/>
      <c r="FC2" s="918"/>
      <c r="FD2" s="918"/>
      <c r="FE2" s="918"/>
      <c r="FF2" s="918"/>
      <c r="FG2" s="918"/>
      <c r="FH2" s="918"/>
      <c r="FI2" s="918"/>
      <c r="FJ2" s="918"/>
      <c r="FK2" s="918"/>
      <c r="FL2" s="918"/>
      <c r="FM2" s="918"/>
      <c r="FN2" s="918"/>
      <c r="FO2" s="918"/>
      <c r="FP2" s="918"/>
      <c r="FQ2" s="918"/>
      <c r="FR2" s="918"/>
      <c r="FS2" s="918"/>
      <c r="FT2" s="918"/>
      <c r="FU2" s="918"/>
      <c r="FV2" s="918"/>
      <c r="FW2" s="918"/>
    </row>
    <row s="919" customFormat="1" customHeight="1" ht="12" hidden="1">
      <c r="B3" s="917"/>
      <c r="C3" s="918"/>
      <c r="D3" s="918"/>
      <c r="E3" s="918"/>
      <c r="F3" s="918"/>
      <c r="G3" s="918"/>
      <c r="H3" s="918"/>
      <c r="I3" s="918"/>
      <c r="J3" s="918"/>
      <c r="K3" s="918"/>
      <c r="L3" s="918"/>
      <c r="M3" s="918"/>
      <c r="N3" s="918"/>
      <c r="O3" s="918"/>
      <c r="P3" s="918"/>
      <c r="Q3" s="918"/>
      <c r="R3" s="918"/>
      <c r="S3" s="918"/>
      <c r="T3" s="918"/>
      <c r="U3" s="918"/>
      <c r="V3" s="918"/>
      <c r="W3" s="918"/>
      <c r="X3" s="918"/>
      <c r="Y3" s="918"/>
      <c r="Z3" s="918"/>
      <c r="AA3" s="918"/>
      <c r="AB3" s="919"/>
      <c r="AC3" s="918"/>
      <c r="AD3" s="918"/>
      <c r="AE3" s="918"/>
      <c r="AF3" s="918"/>
      <c r="AG3" s="918"/>
      <c r="AH3" s="918"/>
      <c r="AI3" s="918"/>
      <c r="AJ3" s="918"/>
      <c r="AK3" s="918"/>
      <c r="AL3" s="918"/>
      <c r="AM3" s="918"/>
      <c r="AN3" s="918"/>
      <c r="AO3" s="918"/>
      <c r="AP3" s="918"/>
      <c r="AQ3" s="918"/>
      <c r="AR3" s="918"/>
      <c r="AS3" s="918"/>
      <c r="AT3" s="918"/>
      <c r="AU3" s="918"/>
      <c r="AV3" s="918"/>
      <c r="AW3" s="918"/>
      <c r="AX3" s="918"/>
      <c r="AY3" s="918"/>
      <c r="AZ3" s="918"/>
      <c r="BA3" s="918"/>
      <c r="BB3" s="918"/>
      <c r="BC3" s="918"/>
      <c r="BD3" s="918"/>
      <c r="BE3" s="918"/>
      <c r="BF3" s="918"/>
      <c r="BG3" s="918"/>
      <c r="BH3" s="918"/>
      <c r="BI3" s="918"/>
      <c r="BJ3" s="918"/>
      <c r="BK3" s="918"/>
      <c r="BL3" s="918"/>
      <c r="BM3" s="918"/>
      <c r="BN3" s="918"/>
      <c r="BO3" s="918"/>
      <c r="BP3" s="918"/>
      <c r="BQ3" s="918"/>
      <c r="BR3" s="918"/>
      <c r="BS3" s="918"/>
      <c r="BT3" s="918"/>
      <c r="BU3" s="918"/>
      <c r="BV3" s="918"/>
      <c r="BW3" s="918"/>
      <c r="BX3" s="918"/>
      <c r="BY3" s="918"/>
      <c r="BZ3" s="918"/>
      <c r="CA3" s="918"/>
      <c r="CB3" s="918"/>
      <c r="CC3" s="918"/>
      <c r="CD3" s="918"/>
      <c r="CE3" s="918"/>
      <c r="CF3" s="918"/>
      <c r="CG3" s="918"/>
      <c r="CH3" s="918"/>
      <c r="CI3" s="918"/>
      <c r="CJ3" s="918"/>
      <c r="CK3" s="918"/>
      <c r="CL3" s="918"/>
      <c r="CM3" s="918"/>
      <c r="CN3" s="918"/>
      <c r="CO3" s="918"/>
      <c r="CP3" s="918"/>
      <c r="CQ3" s="918"/>
      <c r="CR3" s="918"/>
      <c r="CS3" s="918"/>
      <c r="CT3" s="918"/>
      <c r="CU3" s="918"/>
      <c r="CV3" s="918"/>
      <c r="CW3" s="918"/>
      <c r="CX3" s="918"/>
      <c r="CY3" s="918"/>
      <c r="CZ3" s="918"/>
      <c r="DA3" s="918"/>
      <c r="DB3" s="918"/>
      <c r="DC3" s="918"/>
      <c r="DD3" s="918"/>
      <c r="DE3" s="918"/>
      <c r="DF3" s="918"/>
      <c r="DG3" s="918"/>
      <c r="DH3" s="918"/>
      <c r="DI3" s="918"/>
      <c r="DJ3" s="918"/>
      <c r="DK3" s="918"/>
      <c r="DL3" s="918"/>
      <c r="DM3" s="918"/>
      <c r="DN3" s="918"/>
      <c r="DO3" s="918"/>
      <c r="DP3" s="918"/>
      <c r="DQ3" s="918"/>
      <c r="DR3" s="918"/>
      <c r="DS3" s="918"/>
      <c r="DT3" s="918"/>
      <c r="DU3" s="918"/>
      <c r="DV3" s="918"/>
      <c r="DW3" s="918"/>
      <c r="DX3" s="918"/>
      <c r="DY3" s="918"/>
      <c r="DZ3" s="918"/>
      <c r="EA3" s="918"/>
      <c r="EB3" s="918"/>
      <c r="EC3" s="918"/>
      <c r="ED3" s="918"/>
      <c r="EE3" s="918"/>
      <c r="EF3" s="918"/>
      <c r="EG3" s="918"/>
      <c r="EH3" s="918"/>
      <c r="EI3" s="918"/>
      <c r="EJ3" s="918"/>
      <c r="EK3" s="918"/>
      <c r="EL3" s="918"/>
      <c r="EM3" s="918"/>
      <c r="EN3" s="918"/>
      <c r="EO3" s="918"/>
      <c r="EP3" s="918"/>
      <c r="EQ3" s="918"/>
      <c r="ER3" s="918"/>
      <c r="ES3" s="918"/>
      <c r="ET3" s="918"/>
      <c r="EU3" s="918"/>
      <c r="EV3" s="918"/>
      <c r="EW3" s="918"/>
      <c r="EX3" s="918"/>
      <c r="EY3" s="918"/>
      <c r="EZ3" s="918"/>
      <c r="FA3" s="918"/>
      <c r="FB3" s="918"/>
      <c r="FC3" s="918"/>
      <c r="FD3" s="918"/>
      <c r="FE3" s="918"/>
      <c r="FF3" s="918"/>
      <c r="FG3" s="918"/>
      <c r="FH3" s="918"/>
      <c r="FI3" s="918"/>
      <c r="FJ3" s="918"/>
      <c r="FK3" s="918"/>
      <c r="FL3" s="918"/>
      <c r="FM3" s="918"/>
      <c r="FN3" s="918"/>
      <c r="FO3" s="918"/>
      <c r="FP3" s="918"/>
      <c r="FQ3" s="918"/>
      <c r="FR3" s="918"/>
      <c r="FS3" s="918"/>
      <c r="FT3" s="918"/>
      <c r="FU3" s="918"/>
      <c r="FV3" s="918"/>
      <c r="FW3" s="918"/>
    </row>
    <row customHeight="1" ht="10.5">
      <c r="B4" s="921"/>
      <c r="C4" s="922"/>
      <c r="D4" s="922"/>
      <c r="E4" s="922"/>
      <c r="F4" s="922"/>
      <c r="G4" s="922"/>
      <c r="H4" s="923"/>
      <c r="I4" s="923"/>
      <c r="J4" s="923"/>
      <c r="K4" s="923"/>
      <c r="L4" s="923"/>
      <c r="M4" s="924"/>
      <c r="N4" s="924"/>
      <c r="O4" s="924"/>
      <c r="P4" s="924"/>
      <c r="Q4" s="924"/>
      <c r="R4" s="924"/>
      <c r="S4" s="924"/>
      <c r="T4" s="924"/>
      <c r="U4" s="924"/>
      <c r="V4" s="924"/>
      <c r="W4" s="924"/>
      <c r="X4" s="924"/>
      <c r="Y4" s="924"/>
      <c r="Z4" s="924"/>
      <c r="AA4" s="924"/>
      <c r="AB4" s="924"/>
      <c r="AC4" s="924"/>
      <c r="AD4" s="924"/>
      <c r="AE4" s="924"/>
      <c r="AF4" s="924"/>
      <c r="AG4" s="924"/>
      <c r="AH4" s="924"/>
      <c r="AI4" s="924"/>
      <c r="AJ4" s="924"/>
      <c r="AK4" s="924"/>
      <c r="AL4" s="924"/>
      <c r="AM4" s="924"/>
      <c r="AN4" s="924"/>
      <c r="AO4" s="924"/>
      <c r="AP4" s="924"/>
      <c r="AQ4" s="924"/>
      <c r="AR4" s="924"/>
      <c r="AS4" s="924"/>
      <c r="AT4" s="924"/>
      <c r="AU4" s="924"/>
      <c r="AV4" s="924"/>
      <c r="AW4" s="924"/>
      <c r="AX4" s="924"/>
      <c r="AY4" s="924"/>
      <c r="AZ4" s="924"/>
      <c r="BA4" s="924"/>
      <c r="BB4" s="924"/>
      <c r="BC4" s="924"/>
      <c r="BD4" s="924"/>
      <c r="BE4" s="924"/>
      <c r="BF4" s="924"/>
      <c r="BG4" s="924"/>
      <c r="BH4" s="924"/>
      <c r="BI4" s="924"/>
      <c r="BJ4" s="924"/>
      <c r="BK4" s="924"/>
      <c r="BL4" s="924"/>
      <c r="BM4" s="924"/>
      <c r="BN4" s="924"/>
      <c r="BO4" s="924"/>
      <c r="BP4" s="924"/>
      <c r="BQ4" s="924"/>
      <c r="BR4" s="924"/>
      <c r="BS4" s="924"/>
      <c r="BT4" s="924"/>
      <c r="BU4" s="924"/>
      <c r="BV4" s="924"/>
      <c r="BW4" s="924"/>
      <c r="BX4" s="924"/>
      <c r="BY4" s="924"/>
      <c r="BZ4" s="924"/>
      <c r="CA4" s="924"/>
      <c r="CB4" s="924"/>
      <c r="CC4" s="924"/>
      <c r="CD4" s="924"/>
      <c r="CE4" s="924"/>
      <c r="CF4" s="924"/>
      <c r="CG4" s="924"/>
      <c r="CH4" s="924"/>
      <c r="CI4" s="924"/>
      <c r="CJ4" s="924"/>
      <c r="CK4" s="924"/>
      <c r="CL4" s="924"/>
      <c r="CM4" s="924"/>
      <c r="CN4" s="924"/>
      <c r="CO4" s="924"/>
      <c r="CP4" s="924"/>
      <c r="CQ4" s="924"/>
      <c r="CR4" s="924"/>
      <c r="CS4" s="924"/>
      <c r="CT4" s="924"/>
      <c r="CU4" s="924"/>
      <c r="CV4" s="924"/>
      <c r="CW4" s="924"/>
      <c r="CX4" s="924"/>
      <c r="CY4" s="924"/>
      <c r="CZ4" s="924"/>
      <c r="DA4" s="924"/>
      <c r="DB4" s="924"/>
      <c r="DC4" s="924"/>
      <c r="DD4" s="924"/>
      <c r="DE4" s="924"/>
      <c r="DF4" s="924"/>
      <c r="DG4" s="924"/>
      <c r="DH4" s="924"/>
      <c r="DI4" s="924"/>
      <c r="DJ4" s="924"/>
      <c r="DK4" s="924"/>
      <c r="DL4" s="924"/>
      <c r="DM4" s="924"/>
      <c r="DN4" s="924"/>
      <c r="DO4" s="924"/>
      <c r="DP4" s="924"/>
      <c r="DQ4" s="924"/>
      <c r="DR4" s="924"/>
      <c r="DS4" s="924"/>
      <c r="DT4" s="924"/>
      <c r="DU4" s="924"/>
      <c r="DV4" s="924"/>
      <c r="DW4" s="924"/>
      <c r="DX4" s="924"/>
      <c r="DY4" s="924"/>
      <c r="DZ4" s="924"/>
      <c r="EA4" s="924"/>
      <c r="EB4" s="924"/>
      <c r="EC4" s="924"/>
      <c r="ED4" s="924"/>
      <c r="EE4" s="924"/>
      <c r="EF4" s="924"/>
      <c r="EG4" s="924"/>
      <c r="EH4" s="924"/>
      <c r="EI4" s="924"/>
      <c r="EJ4" s="924"/>
      <c r="EK4" s="924"/>
      <c r="EL4" s="924"/>
      <c r="EM4" s="924"/>
      <c r="EN4" s="924"/>
      <c r="EO4" s="924"/>
      <c r="EP4" s="924"/>
      <c r="EQ4" s="924"/>
      <c r="ER4" s="924"/>
      <c r="ES4" s="924"/>
      <c r="ET4" s="924"/>
      <c r="EU4" s="924"/>
      <c r="EV4" s="924"/>
      <c r="EW4" s="924"/>
      <c r="EX4" s="924"/>
      <c r="EY4" s="924"/>
      <c r="EZ4" s="924"/>
      <c r="FA4" s="924"/>
      <c r="FB4" s="924"/>
      <c r="FC4" s="924"/>
      <c r="FD4" s="924"/>
      <c r="FE4" s="924"/>
      <c r="FF4" s="924"/>
      <c r="FG4" s="924"/>
      <c r="FH4" s="924"/>
      <c r="FI4" s="924"/>
      <c r="FJ4" s="924"/>
      <c r="FK4" s="924"/>
      <c r="FL4" s="924"/>
      <c r="FM4" s="924"/>
      <c r="FN4" s="924"/>
      <c r="FO4" s="924"/>
      <c r="FP4" s="924"/>
      <c r="FQ4" s="924"/>
      <c r="FR4" s="924"/>
      <c r="FS4" s="924"/>
      <c r="FT4" s="924"/>
      <c r="FU4" s="924"/>
      <c r="FV4" s="924"/>
      <c r="FW4" s="924"/>
    </row>
    <row s="1898" customFormat="1" customHeight="1" ht="25.5">
      <c r="B5" s="1897"/>
      <c r="E5" s="1899"/>
      <c r="F5" s="2277"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год</v>
      </c>
      <c r="G5" s="1997"/>
      <c r="H5" s="1997"/>
      <c r="I5" s="1997"/>
      <c r="J5" s="1997"/>
      <c r="K5" s="1997"/>
      <c r="L5" s="1997"/>
      <c r="M5" s="1997"/>
      <c r="N5" s="1997"/>
      <c r="O5" s="1997"/>
      <c r="P5" s="1997"/>
      <c r="Q5" s="1997"/>
      <c r="R5" s="1997"/>
      <c r="S5" s="1997"/>
      <c r="T5" s="1997"/>
      <c r="U5" s="1997"/>
      <c r="V5" s="1997"/>
      <c r="W5" s="1997"/>
      <c r="X5" s="1997"/>
      <c r="Y5" s="1997"/>
      <c r="Z5" s="1997"/>
      <c r="AA5" s="1997"/>
      <c r="AB5" s="1997"/>
      <c r="AC5" s="1997"/>
      <c r="AD5" s="1997"/>
      <c r="AE5" s="1997"/>
      <c r="AF5" s="1997"/>
      <c r="AG5" s="1997"/>
      <c r="AH5" s="1997"/>
      <c r="AI5" s="1997"/>
      <c r="AJ5" s="1997"/>
      <c r="AK5" s="1997"/>
      <c r="AL5" s="1997"/>
      <c r="AM5" s="1997"/>
      <c r="AN5" s="1997"/>
      <c r="AO5" s="1997"/>
      <c r="AP5" s="1997"/>
      <c r="AQ5" s="1997"/>
      <c r="AR5" s="1997"/>
      <c r="AS5" s="1997"/>
      <c r="AT5" s="1997"/>
      <c r="AU5" s="1997"/>
      <c r="AV5" s="1997"/>
      <c r="AW5" s="1997"/>
      <c r="AX5" s="1997"/>
      <c r="AY5" s="1997"/>
      <c r="AZ5" s="1997"/>
      <c r="BA5" s="1997"/>
      <c r="BB5" s="1997"/>
      <c r="BC5" s="1997"/>
      <c r="BD5" s="1997"/>
      <c r="BE5" s="1997"/>
      <c r="BF5" s="1997"/>
      <c r="BG5" s="1997"/>
      <c r="BH5" s="1997"/>
      <c r="BI5" s="1997"/>
      <c r="BJ5" s="1997"/>
      <c r="BK5" s="1997"/>
      <c r="BL5" s="1997"/>
      <c r="BM5" s="1997"/>
      <c r="BN5" s="1997"/>
      <c r="BO5" s="1997"/>
      <c r="BP5" s="1997"/>
      <c r="BQ5" s="1997"/>
      <c r="BR5" s="1997"/>
      <c r="BS5" s="1997"/>
    </row>
    <row s="1972" customFormat="1" customHeight="1" ht="18">
      <c r="B6" s="938"/>
      <c r="E6" s="940"/>
      <c r="F6" s="2061" t="str">
        <f>IF(org=0,"Не определено",org)</f>
        <v>ООО "ПРОМ ИМПУЛЬС"</v>
      </c>
      <c r="G6" s="2062"/>
      <c r="H6" s="2062"/>
      <c r="I6" s="2062"/>
      <c r="J6" s="2062"/>
      <c r="K6" s="2062"/>
      <c r="L6" s="2062"/>
      <c r="M6" s="2062"/>
      <c r="N6" s="2062"/>
      <c r="O6" s="2062"/>
      <c r="P6" s="2062"/>
      <c r="Q6" s="2062"/>
      <c r="R6" s="2062"/>
      <c r="S6" s="2062"/>
      <c r="T6" s="2062"/>
      <c r="U6" s="2062"/>
      <c r="V6" s="2062"/>
      <c r="W6" s="2062"/>
      <c r="X6" s="2062"/>
      <c r="Y6" s="2062"/>
      <c r="Z6" s="2062"/>
      <c r="AA6" s="2062"/>
      <c r="AB6" s="2062"/>
      <c r="AC6" s="2062"/>
      <c r="AD6" s="2062"/>
      <c r="AE6" s="2062"/>
      <c r="AF6" s="2062"/>
      <c r="AG6" s="2062"/>
      <c r="AH6" s="2062"/>
      <c r="AI6" s="2062"/>
      <c r="AJ6" s="2062"/>
      <c r="AK6" s="2062"/>
      <c r="AL6" s="2062"/>
      <c r="AM6" s="2062"/>
      <c r="AN6" s="2062"/>
      <c r="AO6" s="2062"/>
      <c r="AP6" s="2062"/>
      <c r="AQ6" s="2062"/>
      <c r="AR6" s="2062"/>
      <c r="AS6" s="2062"/>
      <c r="AT6" s="2062"/>
      <c r="AU6" s="2062"/>
      <c r="AV6" s="2062"/>
      <c r="AW6" s="2062"/>
      <c r="AX6" s="2062"/>
      <c r="AY6" s="2062"/>
      <c r="AZ6" s="2062"/>
      <c r="BA6" s="2062"/>
      <c r="BB6" s="2062"/>
      <c r="BC6" s="2062"/>
      <c r="BD6" s="2062"/>
      <c r="BE6" s="2062"/>
      <c r="BF6" s="2062"/>
      <c r="BG6" s="2062"/>
      <c r="BH6" s="2062"/>
      <c r="BI6" s="2062"/>
      <c r="BJ6" s="2062"/>
      <c r="BK6" s="2062"/>
      <c r="BL6" s="2062"/>
      <c r="BM6" s="2062"/>
      <c r="BN6" s="2062"/>
      <c r="BO6" s="2062"/>
      <c r="BP6" s="2062"/>
      <c r="BQ6" s="2062"/>
      <c r="BR6" s="2062"/>
      <c r="BS6" s="2062"/>
    </row>
    <row s="927" customFormat="1" customHeight="1" ht="10.5">
      <c r="B7" s="926"/>
      <c r="E7" s="927"/>
      <c r="F7" s="927"/>
      <c r="G7" s="929"/>
      <c r="H7" s="923"/>
      <c r="I7" s="923"/>
      <c r="J7" s="923"/>
      <c r="K7" s="923"/>
      <c r="L7" s="923"/>
      <c r="M7" s="927"/>
      <c r="N7" s="927"/>
      <c r="O7" s="927"/>
      <c r="P7" s="927"/>
      <c r="Q7" s="927"/>
      <c r="R7" s="927"/>
      <c r="S7" s="927"/>
      <c r="T7" s="927"/>
      <c r="U7" s="927"/>
      <c r="V7" s="927"/>
      <c r="W7" s="927"/>
      <c r="X7" s="927"/>
      <c r="Y7" s="927"/>
      <c r="Z7" s="927"/>
      <c r="AA7" s="927"/>
      <c r="AB7" s="927"/>
      <c r="AC7" s="927"/>
      <c r="AD7" s="927"/>
      <c r="AE7" s="927"/>
      <c r="AF7" s="927"/>
      <c r="AG7" s="927"/>
      <c r="AH7" s="927"/>
      <c r="AI7" s="927"/>
      <c r="AJ7" s="927"/>
      <c r="AK7" s="927"/>
      <c r="AL7" s="927"/>
      <c r="AM7" s="927"/>
      <c r="AN7" s="927"/>
      <c r="AO7" s="927"/>
      <c r="AP7" s="927"/>
      <c r="AQ7" s="927"/>
      <c r="AR7" s="927"/>
      <c r="AS7" s="927"/>
      <c r="AT7" s="927"/>
      <c r="AU7" s="927"/>
      <c r="AV7" s="927"/>
      <c r="AW7" s="927"/>
      <c r="AX7" s="927"/>
      <c r="AY7" s="927"/>
      <c r="AZ7" s="927"/>
      <c r="BA7" s="927"/>
      <c r="BB7" s="927"/>
      <c r="BC7" s="927"/>
      <c r="BD7" s="927"/>
      <c r="BE7" s="927"/>
      <c r="BF7" s="927"/>
      <c r="BG7" s="927"/>
      <c r="BH7" s="927"/>
      <c r="BI7" s="927"/>
      <c r="BJ7" s="927"/>
      <c r="BK7" s="927"/>
      <c r="BL7" s="927"/>
      <c r="BM7" s="927"/>
      <c r="BN7" s="927"/>
      <c r="BO7" s="927"/>
      <c r="BP7" s="927"/>
      <c r="BQ7" s="927"/>
      <c r="BR7" s="927"/>
      <c r="BS7" s="927"/>
      <c r="BT7" s="927"/>
      <c r="BU7" s="927"/>
      <c r="BV7" s="927"/>
      <c r="BW7" s="927"/>
      <c r="BX7" s="927"/>
      <c r="BY7" s="927"/>
      <c r="BZ7" s="927"/>
      <c r="CA7" s="927"/>
      <c r="CB7" s="927"/>
      <c r="CC7" s="927"/>
      <c r="CD7" s="927"/>
      <c r="CE7" s="927"/>
      <c r="CF7" s="927"/>
      <c r="CG7" s="927"/>
      <c r="CH7" s="927"/>
      <c r="CI7" s="927"/>
      <c r="CJ7" s="927"/>
      <c r="CK7" s="927"/>
      <c r="CL7" s="927"/>
      <c r="CM7" s="927"/>
      <c r="CN7" s="927"/>
      <c r="CO7" s="927"/>
      <c r="CP7" s="927"/>
      <c r="CQ7" s="927"/>
      <c r="CR7" s="927"/>
      <c r="CS7" s="927"/>
      <c r="CT7" s="927"/>
      <c r="CU7" s="927"/>
      <c r="CV7" s="927"/>
      <c r="CW7" s="927"/>
      <c r="CX7" s="927"/>
      <c r="CY7" s="927"/>
      <c r="CZ7" s="927"/>
      <c r="DA7" s="927"/>
      <c r="DB7" s="927"/>
      <c r="DC7" s="927"/>
      <c r="DD7" s="927"/>
      <c r="DE7" s="927"/>
      <c r="DF7" s="927"/>
      <c r="DG7" s="927"/>
      <c r="DH7" s="927"/>
      <c r="DI7" s="927"/>
      <c r="DJ7" s="927"/>
      <c r="DK7" s="927"/>
      <c r="DL7" s="927"/>
      <c r="DM7" s="927"/>
      <c r="DN7" s="927"/>
      <c r="DO7" s="927"/>
      <c r="DP7" s="927"/>
      <c r="DQ7" s="927"/>
      <c r="DR7" s="927"/>
      <c r="DS7" s="927"/>
      <c r="DT7" s="927"/>
      <c r="DU7" s="927"/>
      <c r="DV7" s="927"/>
      <c r="DW7" s="927"/>
      <c r="DX7" s="927"/>
      <c r="DY7" s="927"/>
      <c r="DZ7" s="927"/>
      <c r="EA7" s="927"/>
      <c r="EB7" s="927"/>
      <c r="EC7" s="927"/>
      <c r="ED7" s="927"/>
      <c r="EE7" s="927"/>
      <c r="EF7" s="927"/>
      <c r="EG7" s="927"/>
      <c r="EH7" s="927"/>
      <c r="EI7" s="927"/>
      <c r="EJ7" s="927"/>
      <c r="EK7" s="927"/>
      <c r="EL7" s="927"/>
      <c r="EM7" s="927"/>
      <c r="EN7" s="927"/>
      <c r="EO7" s="927"/>
      <c r="EP7" s="927"/>
      <c r="EQ7" s="927"/>
      <c r="ER7" s="927"/>
      <c r="ES7" s="927"/>
      <c r="ET7" s="927"/>
      <c r="EU7" s="927"/>
      <c r="EV7" s="927"/>
      <c r="EW7" s="927"/>
      <c r="EX7" s="927"/>
      <c r="EY7" s="927"/>
      <c r="EZ7" s="927"/>
      <c r="FA7" s="927"/>
      <c r="FB7" s="927"/>
      <c r="FC7" s="927"/>
      <c r="FD7" s="927"/>
      <c r="FE7" s="927"/>
      <c r="FF7" s="927"/>
      <c r="FG7" s="927"/>
      <c r="FH7" s="927"/>
      <c r="FI7" s="927"/>
      <c r="FJ7" s="927"/>
      <c r="FK7" s="927"/>
      <c r="FL7" s="927"/>
      <c r="FM7" s="927"/>
      <c r="FN7" s="927"/>
      <c r="FO7" s="927"/>
      <c r="FP7" s="927"/>
      <c r="FQ7" s="927"/>
      <c r="FR7" s="927"/>
      <c r="FS7" s="927"/>
      <c r="FT7" s="927"/>
      <c r="FU7" s="927"/>
      <c r="FV7" s="927"/>
      <c r="FW7" s="927"/>
    </row>
    <row s="927" customFormat="1" customHeight="1" ht="11.25" hidden="1">
      <c r="B8" s="928"/>
      <c r="F8" s="1051"/>
      <c r="G8" s="758"/>
      <c r="H8" s="348"/>
      <c r="I8" s="348"/>
      <c r="J8" s="348"/>
      <c r="K8" s="348"/>
      <c r="L8" s="348"/>
      <c r="M8" s="1051"/>
      <c r="N8" s="1051"/>
      <c r="O8" s="2263" t="s">
        <v>985</v>
      </c>
      <c r="P8" s="2264"/>
      <c r="Q8" s="2264"/>
      <c r="R8" s="2264"/>
      <c r="S8" s="2264"/>
      <c r="T8" s="2264"/>
      <c r="U8" s="2264"/>
      <c r="V8" s="2264"/>
      <c r="W8" s="2264"/>
      <c r="X8" s="2264"/>
      <c r="Y8" s="2264"/>
      <c r="Z8" s="2264"/>
      <c r="AA8" s="2264"/>
      <c r="AB8" s="2264"/>
      <c r="AC8" s="2264"/>
      <c r="AD8" s="2264"/>
      <c r="AE8" s="2264"/>
      <c r="AF8" s="2264"/>
      <c r="AG8" s="2264"/>
      <c r="AH8" s="2264"/>
      <c r="AI8" s="2264"/>
      <c r="AJ8" s="2264"/>
      <c r="AK8" s="2264"/>
      <c r="AL8" s="2264"/>
      <c r="AM8" s="2264"/>
      <c r="AN8" s="2264"/>
      <c r="AO8" s="2264"/>
      <c r="AP8" s="2264"/>
      <c r="AQ8" s="2264"/>
      <c r="AR8" s="2264"/>
      <c r="AS8" s="2264"/>
      <c r="AT8" s="2264"/>
      <c r="AU8" s="2264"/>
      <c r="AV8" s="2264"/>
      <c r="AW8" s="2264"/>
      <c r="AX8" s="2264"/>
      <c r="AY8" s="2264"/>
      <c r="AZ8" s="2264"/>
      <c r="BA8" s="2264"/>
      <c r="BB8" s="2264"/>
      <c r="BC8" s="2264"/>
      <c r="BD8" s="2264"/>
      <c r="BE8" s="2264"/>
      <c r="BF8" s="2264"/>
      <c r="BG8" s="2264"/>
      <c r="BH8" s="2264"/>
      <c r="BI8" s="2264"/>
      <c r="BJ8" s="2264"/>
      <c r="BK8" s="2264"/>
      <c r="BL8" s="2264"/>
      <c r="BM8" s="2264"/>
      <c r="BN8" s="2264"/>
      <c r="BO8" s="2264"/>
      <c r="BP8" s="2264"/>
      <c r="BQ8" s="2264"/>
      <c r="BR8" s="2264"/>
      <c r="BS8" s="2265"/>
      <c r="BT8" s="2266"/>
      <c r="BU8" s="2267"/>
      <c r="BV8" s="2267"/>
      <c r="BW8" s="2267"/>
      <c r="BX8" s="2267"/>
      <c r="BY8" s="2267"/>
      <c r="BZ8" s="2267"/>
      <c r="CA8" s="2267"/>
      <c r="CB8" s="2267"/>
      <c r="CC8" s="2267"/>
      <c r="CD8" s="2267"/>
      <c r="CE8" s="2267"/>
      <c r="CF8" s="2267"/>
      <c r="CG8" s="2267"/>
      <c r="CH8" s="2267"/>
      <c r="CI8" s="2267"/>
      <c r="CJ8" s="2267"/>
      <c r="CK8" s="2267"/>
      <c r="CL8" s="2267"/>
      <c r="CM8" s="2267"/>
      <c r="CN8" s="2267"/>
      <c r="CO8" s="2267"/>
      <c r="CP8" s="2267"/>
      <c r="CQ8" s="2267"/>
      <c r="CR8" s="2267"/>
      <c r="CS8" s="2267"/>
      <c r="CT8" s="2267"/>
      <c r="CU8" s="2267"/>
      <c r="CV8" s="2267"/>
      <c r="CW8" s="2267"/>
      <c r="CX8" s="2268"/>
      <c r="CY8" s="2269"/>
      <c r="CZ8" s="2270"/>
      <c r="DA8" s="2270"/>
      <c r="DB8" s="2270"/>
      <c r="DC8" s="2270"/>
      <c r="DD8" s="2270"/>
      <c r="DE8" s="2270"/>
      <c r="DF8" s="2270"/>
      <c r="DG8" s="2270"/>
      <c r="DH8" s="2270"/>
      <c r="DI8" s="2270"/>
      <c r="DJ8" s="2270"/>
      <c r="DK8" s="2270"/>
      <c r="DL8" s="2270"/>
      <c r="DM8" s="2270"/>
      <c r="DN8" s="2270"/>
      <c r="DO8" s="2270"/>
      <c r="DP8" s="2270"/>
      <c r="DQ8" s="2270"/>
      <c r="DR8" s="2270"/>
      <c r="DS8" s="2270"/>
      <c r="DT8" s="2270"/>
      <c r="DU8" s="2270"/>
      <c r="DV8" s="2270"/>
      <c r="DW8" s="2270"/>
      <c r="DX8" s="2271"/>
      <c r="DY8" s="2257" t="s">
        <v>986</v>
      </c>
      <c r="DZ8" s="2258"/>
      <c r="EA8" s="2258"/>
      <c r="EB8" s="2258"/>
      <c r="EC8" s="2258"/>
      <c r="ED8" s="2258"/>
      <c r="EE8" s="2258"/>
      <c r="EF8" s="2258"/>
      <c r="EG8" s="2258"/>
      <c r="EH8" s="2258"/>
      <c r="EI8" s="2258"/>
      <c r="EJ8" s="2258"/>
      <c r="EK8" s="2258"/>
      <c r="EL8" s="2258"/>
      <c r="EM8" s="2258"/>
      <c r="EN8" s="2258"/>
      <c r="EO8" s="2258"/>
      <c r="EP8" s="2258"/>
      <c r="EQ8" s="2258"/>
      <c r="ER8" s="2258"/>
      <c r="ES8" s="2258"/>
      <c r="ET8" s="2258"/>
      <c r="EU8" s="2258"/>
      <c r="EV8" s="2258"/>
      <c r="EW8" s="2258"/>
      <c r="EX8" s="2258"/>
      <c r="EY8" s="2258"/>
      <c r="EZ8" s="2258"/>
      <c r="FA8" s="2258"/>
      <c r="FB8" s="2258"/>
      <c r="FC8" s="2258"/>
      <c r="FD8" s="2258"/>
      <c r="FE8" s="2258"/>
      <c r="FF8" s="2258"/>
      <c r="FG8" s="2258"/>
      <c r="FH8" s="2258"/>
      <c r="FI8" s="2258"/>
      <c r="FJ8" s="2258"/>
      <c r="FK8" s="2258"/>
      <c r="FL8" s="2258"/>
      <c r="FM8" s="2258"/>
      <c r="FN8" s="2258"/>
      <c r="FO8" s="2258"/>
      <c r="FP8" s="2258"/>
      <c r="FQ8" s="2258"/>
      <c r="FR8" s="2258"/>
      <c r="FS8" s="2258"/>
      <c r="FT8" s="2258"/>
      <c r="FU8" s="2258"/>
      <c r="FV8" s="2258"/>
      <c r="FW8" s="2259"/>
      <c r="FX8" s="1051"/>
    </row>
    <row s="927" customFormat="1" customHeight="1" ht="11.25" hidden="1">
      <c r="B9" s="928"/>
      <c r="F9" s="1051"/>
      <c r="G9" s="758"/>
      <c r="H9" s="348"/>
      <c r="I9" s="348"/>
      <c r="J9" s="348"/>
      <c r="K9" s="348"/>
      <c r="L9" s="348"/>
      <c r="M9" s="1051"/>
      <c r="N9" s="1051"/>
      <c r="O9" s="1051"/>
      <c r="P9" s="1051"/>
      <c r="Q9" s="1051"/>
      <c r="R9" s="1051"/>
      <c r="S9" s="1051"/>
      <c r="T9" s="1051"/>
      <c r="U9" s="1051"/>
      <c r="V9" s="1051"/>
      <c r="W9" s="1051"/>
      <c r="X9" s="1051"/>
      <c r="Y9" s="1051"/>
      <c r="Z9" s="1051"/>
      <c r="AA9" s="1051"/>
      <c r="AB9" s="1051"/>
      <c r="AC9" s="1051"/>
      <c r="AD9" s="1051"/>
      <c r="AE9" s="1051"/>
      <c r="AF9" s="1051"/>
      <c r="AG9" s="1051"/>
      <c r="AH9" s="1051"/>
      <c r="AI9" s="1051"/>
      <c r="AJ9" s="1051"/>
      <c r="AK9" s="1051"/>
      <c r="AL9" s="1051"/>
      <c r="AM9" s="1051"/>
      <c r="AN9" s="1051"/>
      <c r="AO9" s="1051"/>
      <c r="AP9" s="1051"/>
      <c r="AQ9" s="1051"/>
      <c r="AR9" s="1051"/>
      <c r="AS9" s="1051"/>
      <c r="AT9" s="1051"/>
      <c r="AU9" s="1051"/>
      <c r="AV9" s="1051"/>
      <c r="AW9" s="1051"/>
      <c r="AX9" s="1051"/>
      <c r="AY9" s="1051"/>
      <c r="AZ9" s="1051"/>
      <c r="BA9" s="1051"/>
      <c r="BB9" s="1051"/>
      <c r="BC9" s="1051"/>
      <c r="BD9" s="1051"/>
      <c r="BE9" s="1051"/>
      <c r="BF9" s="1051"/>
      <c r="BG9" s="1051"/>
      <c r="BH9" s="1051"/>
      <c r="BI9" s="1051"/>
      <c r="BJ9" s="1051"/>
      <c r="BK9" s="1051"/>
      <c r="BL9" s="1051"/>
      <c r="BM9" s="1051"/>
      <c r="BN9" s="1051"/>
      <c r="BO9" s="1051"/>
      <c r="BP9" s="1051"/>
      <c r="BQ9" s="1051"/>
      <c r="BR9" s="1051"/>
      <c r="BS9" s="1051"/>
      <c r="BT9" s="1051"/>
      <c r="BU9" s="1051"/>
      <c r="BV9" s="1051"/>
      <c r="BW9" s="1051"/>
      <c r="BX9" s="1051"/>
      <c r="BY9" s="1051"/>
      <c r="BZ9" s="1051"/>
      <c r="CA9" s="1051"/>
      <c r="CB9" s="1051"/>
      <c r="CC9" s="1051"/>
      <c r="CD9" s="1051"/>
      <c r="CE9" s="1051"/>
      <c r="CF9" s="1051"/>
      <c r="CG9" s="1051"/>
      <c r="CH9" s="1051"/>
      <c r="CI9" s="1051"/>
      <c r="CJ9" s="1051"/>
      <c r="CK9" s="1051"/>
      <c r="CL9" s="1051"/>
      <c r="CM9" s="1051"/>
      <c r="CN9" s="1051"/>
      <c r="CO9" s="1051"/>
      <c r="CP9" s="1051"/>
      <c r="CQ9" s="1051"/>
      <c r="CR9" s="1051"/>
      <c r="CS9" s="1051"/>
      <c r="CT9" s="1051"/>
      <c r="CU9" s="1051"/>
      <c r="CV9" s="1051"/>
      <c r="CW9" s="1051"/>
      <c r="CX9" s="1051"/>
      <c r="CY9" s="1051"/>
      <c r="CZ9" s="1051"/>
      <c r="DA9" s="1051"/>
      <c r="DB9" s="1051"/>
      <c r="DC9" s="1051"/>
      <c r="DD9" s="1051"/>
      <c r="DE9" s="1051"/>
      <c r="DF9" s="1051"/>
      <c r="DG9" s="1051"/>
      <c r="DH9" s="1051"/>
      <c r="DI9" s="1051"/>
      <c r="DJ9" s="1051"/>
      <c r="DK9" s="1051"/>
      <c r="DL9" s="1051"/>
      <c r="DM9" s="1051"/>
      <c r="DN9" s="1051"/>
      <c r="DO9" s="1051"/>
      <c r="DP9" s="1051"/>
      <c r="DQ9" s="1051"/>
      <c r="DR9" s="1051"/>
      <c r="DS9" s="1051"/>
      <c r="DT9" s="1051"/>
      <c r="DU9" s="1051"/>
      <c r="DV9" s="1051"/>
      <c r="DW9" s="1051"/>
      <c r="DX9" s="1051"/>
      <c r="DY9" s="1051"/>
      <c r="DZ9" s="1051"/>
      <c r="EA9" s="1051"/>
      <c r="EB9" s="1051"/>
      <c r="EC9" s="1051"/>
      <c r="ED9" s="1051"/>
      <c r="EE9" s="1051"/>
      <c r="EF9" s="1051"/>
      <c r="EG9" s="1051"/>
      <c r="EH9" s="1051"/>
      <c r="EI9" s="1051"/>
      <c r="EJ9" s="1051"/>
      <c r="EK9" s="1051"/>
      <c r="EL9" s="1051"/>
      <c r="EM9" s="1051"/>
      <c r="EN9" s="1051"/>
      <c r="EO9" s="1051"/>
      <c r="EP9" s="1051"/>
      <c r="EQ9" s="1051"/>
      <c r="ER9" s="1051"/>
      <c r="ES9" s="1051"/>
      <c r="ET9" s="1051"/>
      <c r="EU9" s="1051"/>
      <c r="EV9" s="1051"/>
      <c r="EW9" s="1051"/>
      <c r="EX9" s="1051"/>
      <c r="EY9" s="1051"/>
      <c r="EZ9" s="1051"/>
      <c r="FA9" s="1051"/>
      <c r="FB9" s="1051"/>
      <c r="FC9" s="1051"/>
      <c r="FD9" s="1051"/>
      <c r="FE9" s="1051"/>
      <c r="FF9" s="1051"/>
      <c r="FG9" s="1051"/>
      <c r="FH9" s="1051"/>
      <c r="FI9" s="1051"/>
      <c r="FJ9" s="1051"/>
      <c r="FK9" s="1051"/>
      <c r="FL9" s="1051"/>
      <c r="FM9" s="1051"/>
      <c r="FN9" s="1051"/>
      <c r="FO9" s="1051"/>
      <c r="FP9" s="1051"/>
      <c r="FQ9" s="1051"/>
      <c r="FR9" s="1051"/>
      <c r="FS9" s="1051"/>
      <c r="FT9" s="1051"/>
      <c r="FU9" s="1051"/>
      <c r="FV9" s="1051"/>
      <c r="FW9" s="2260"/>
      <c r="FX9" s="1051"/>
    </row>
    <row s="927" customFormat="1" customHeight="1" ht="11.25">
      <c r="B10" s="928"/>
      <c r="F10" s="2274" t="s">
        <v>305</v>
      </c>
      <c r="G10" s="2275"/>
      <c r="H10" s="2275"/>
      <c r="I10" s="2275"/>
      <c r="J10" s="2275"/>
      <c r="K10" s="2275"/>
      <c r="L10" s="2275"/>
      <c r="M10" s="2275"/>
      <c r="N10" s="2275"/>
      <c r="O10" s="2275"/>
      <c r="P10" s="2275"/>
      <c r="Q10" s="2275"/>
      <c r="R10" s="2275"/>
      <c r="S10" s="2275"/>
      <c r="T10" s="2275"/>
      <c r="U10" s="2275"/>
      <c r="V10" s="2275"/>
      <c r="W10" s="2275"/>
      <c r="X10" s="2275"/>
      <c r="Y10" s="2275"/>
      <c r="Z10" s="2275"/>
      <c r="AA10" s="2275"/>
      <c r="AB10" s="2275"/>
      <c r="AC10" s="2275"/>
      <c r="AD10" s="2275"/>
      <c r="AE10" s="2275"/>
      <c r="AF10" s="2275"/>
      <c r="AG10" s="2275"/>
      <c r="AH10" s="2275"/>
      <c r="AI10" s="2275"/>
      <c r="AJ10" s="2275"/>
      <c r="AK10" s="2275"/>
      <c r="AL10" s="2275"/>
      <c r="AM10" s="2275"/>
      <c r="AN10" s="2275"/>
      <c r="AO10" s="2275"/>
      <c r="AP10" s="2275"/>
      <c r="AQ10" s="2275"/>
      <c r="AR10" s="2275"/>
      <c r="AS10" s="2275"/>
      <c r="AT10" s="2275"/>
      <c r="AU10" s="2275"/>
      <c r="AV10" s="2275"/>
      <c r="AW10" s="2275"/>
      <c r="AX10" s="2275"/>
      <c r="AY10" s="2275"/>
      <c r="AZ10" s="2275"/>
      <c r="BA10" s="2275"/>
      <c r="BB10" s="2275"/>
      <c r="BC10" s="2275"/>
      <c r="BD10" s="2275"/>
      <c r="BE10" s="2275"/>
      <c r="BF10" s="2275"/>
      <c r="BG10" s="2275"/>
      <c r="BH10" s="2275"/>
      <c r="BI10" s="2275"/>
      <c r="BJ10" s="2275"/>
      <c r="BK10" s="2275"/>
      <c r="BL10" s="2275"/>
      <c r="BM10" s="2275"/>
      <c r="BN10" s="2275"/>
      <c r="BO10" s="2275"/>
      <c r="BP10" s="2275"/>
      <c r="BQ10" s="2275"/>
      <c r="BR10" s="2275"/>
      <c r="BS10" s="2275"/>
      <c r="BT10" s="2275"/>
      <c r="BU10" s="2275"/>
      <c r="BV10" s="2275"/>
      <c r="BW10" s="2275"/>
      <c r="BX10" s="2275"/>
      <c r="BY10" s="2275"/>
      <c r="BZ10" s="2275"/>
      <c r="CA10" s="2275"/>
      <c r="CB10" s="2275"/>
      <c r="CC10" s="2275"/>
      <c r="CD10" s="2275"/>
      <c r="CE10" s="2275"/>
      <c r="CF10" s="2275"/>
      <c r="CG10" s="2275"/>
      <c r="CH10" s="2275"/>
      <c r="CI10" s="2275"/>
      <c r="CJ10" s="2275"/>
      <c r="CK10" s="2275"/>
      <c r="CL10" s="2275"/>
      <c r="CM10" s="2275"/>
      <c r="CN10" s="2275"/>
      <c r="CO10" s="2275"/>
      <c r="CP10" s="2275"/>
      <c r="CQ10" s="2275"/>
      <c r="CR10" s="2275"/>
      <c r="CS10" s="2275"/>
      <c r="CT10" s="2275"/>
      <c r="CU10" s="2275"/>
      <c r="CV10" s="2275"/>
      <c r="CW10" s="2275"/>
      <c r="CX10" s="2275"/>
      <c r="CY10" s="2275"/>
      <c r="CZ10" s="2275"/>
      <c r="DA10" s="2275"/>
      <c r="DB10" s="2275"/>
      <c r="DC10" s="2275"/>
      <c r="DD10" s="2275"/>
      <c r="DE10" s="2275"/>
      <c r="DF10" s="2275"/>
      <c r="DG10" s="2275"/>
      <c r="DH10" s="2275"/>
      <c r="DI10" s="2275"/>
      <c r="DJ10" s="2275"/>
      <c r="DK10" s="2275"/>
      <c r="DL10" s="2275"/>
      <c r="DM10" s="2275"/>
      <c r="DN10" s="2275"/>
      <c r="DO10" s="2275"/>
      <c r="DP10" s="2275"/>
      <c r="DQ10" s="2275"/>
      <c r="DR10" s="2275"/>
      <c r="DS10" s="2275"/>
      <c r="DT10" s="2275"/>
      <c r="DU10" s="2275"/>
      <c r="DV10" s="2275"/>
      <c r="DW10" s="2275"/>
      <c r="DX10" s="2275"/>
      <c r="DY10" s="2275"/>
      <c r="DZ10" s="2275"/>
      <c r="EA10" s="2275"/>
      <c r="EB10" s="2275"/>
      <c r="EC10" s="2275"/>
      <c r="ED10" s="2275"/>
      <c r="EE10" s="2275"/>
      <c r="EF10" s="2275"/>
      <c r="EG10" s="2275"/>
      <c r="EH10" s="2275"/>
      <c r="EI10" s="2275"/>
      <c r="EJ10" s="2275"/>
      <c r="EK10" s="2275"/>
      <c r="EL10" s="2275"/>
      <c r="EM10" s="2275"/>
      <c r="EN10" s="2275"/>
      <c r="EO10" s="2275"/>
      <c r="EP10" s="2275"/>
      <c r="EQ10" s="2275"/>
      <c r="ER10" s="2275"/>
      <c r="ES10" s="2275"/>
      <c r="ET10" s="2275"/>
      <c r="EU10" s="2275"/>
      <c r="EV10" s="2275"/>
      <c r="EW10" s="2275"/>
      <c r="EX10" s="2275"/>
      <c r="EY10" s="2275"/>
      <c r="EZ10" s="2275"/>
      <c r="FA10" s="2275"/>
      <c r="FB10" s="2275"/>
      <c r="FC10" s="2275"/>
      <c r="FD10" s="2275"/>
      <c r="FE10" s="2275"/>
      <c r="FF10" s="2275"/>
      <c r="FG10" s="2275"/>
      <c r="FH10" s="2275"/>
      <c r="FI10" s="2275"/>
      <c r="FJ10" s="2275"/>
      <c r="FK10" s="2275"/>
      <c r="FL10" s="2275"/>
      <c r="FM10" s="2275"/>
      <c r="FN10" s="2275"/>
      <c r="FO10" s="2275"/>
      <c r="FP10" s="2275"/>
      <c r="FQ10" s="2275"/>
      <c r="FR10" s="2275"/>
      <c r="FS10" s="2275"/>
      <c r="FT10" s="2275"/>
      <c r="FU10" s="2275"/>
      <c r="FV10" s="2276"/>
      <c r="FW10" s="2260"/>
      <c r="FX10" s="1051"/>
    </row>
    <row customHeight="1" ht="12">
      <c r="E11" s="931"/>
      <c r="F11" s="2039" t="s">
        <v>87</v>
      </c>
      <c r="G11" s="2039" t="s">
        <v>987</v>
      </c>
      <c r="H11" s="2273" t="s">
        <v>988</v>
      </c>
      <c r="I11" s="2273" t="s">
        <v>989</v>
      </c>
      <c r="J11" s="2272"/>
      <c r="K11" s="2272"/>
      <c r="L11" s="2272"/>
      <c r="M11" s="2272"/>
      <c r="N11" s="2272"/>
      <c r="O11" s="2044" t="s">
        <v>990</v>
      </c>
      <c r="P11" s="2044"/>
      <c r="Q11" s="2044"/>
      <c r="R11" s="2044"/>
      <c r="S11" s="2044"/>
      <c r="T11" s="2044"/>
      <c r="U11" s="2044"/>
      <c r="V11" s="2044"/>
      <c r="W11" s="2044"/>
      <c r="X11" s="2044"/>
      <c r="Y11" s="2044"/>
      <c r="Z11" s="2044"/>
      <c r="AA11" s="2044"/>
      <c r="AB11" s="2044"/>
      <c r="AC11" s="2254"/>
      <c r="AD11" s="2254"/>
      <c r="AE11" s="2254"/>
      <c r="AF11" s="2254"/>
      <c r="AG11" s="2254"/>
      <c r="AH11" s="2254"/>
      <c r="AI11" s="2254"/>
      <c r="AJ11" s="2254"/>
      <c r="AK11" s="2254"/>
      <c r="AL11" s="2254"/>
      <c r="AM11" s="2254"/>
      <c r="AN11" s="2254"/>
      <c r="AO11" s="2254"/>
      <c r="AP11" s="2254"/>
      <c r="AQ11" s="2254"/>
      <c r="AR11" s="2254"/>
      <c r="AS11" s="2254"/>
      <c r="AT11" s="2254"/>
      <c r="AU11" s="2254"/>
      <c r="AV11" s="2254"/>
      <c r="AW11" s="2254"/>
      <c r="AX11" s="2254"/>
      <c r="AY11" s="2254"/>
      <c r="AZ11" s="2254"/>
      <c r="BA11" s="2254"/>
      <c r="BB11" s="2254"/>
      <c r="BC11" s="2254"/>
      <c r="BD11" s="2254"/>
      <c r="BE11" s="2254"/>
      <c r="BF11" s="2254"/>
      <c r="BG11" s="2254"/>
      <c r="BH11" s="2254"/>
      <c r="BI11" s="2254"/>
      <c r="BJ11" s="2254"/>
      <c r="BK11" s="2254"/>
      <c r="BL11" s="2254"/>
      <c r="BM11" s="2254"/>
      <c r="BN11" s="2254"/>
      <c r="BO11" s="2254"/>
      <c r="BP11" s="2254"/>
      <c r="BQ11" s="2254"/>
      <c r="BR11" s="2254"/>
      <c r="BS11" s="2255"/>
      <c r="BT11" s="2252" t="s">
        <v>990</v>
      </c>
      <c r="BU11" s="2256"/>
      <c r="BV11" s="2256"/>
      <c r="BW11" s="2256"/>
      <c r="BX11" s="2256"/>
      <c r="BY11" s="2256"/>
      <c r="BZ11" s="2256"/>
      <c r="CA11" s="2256"/>
      <c r="CB11" s="2256"/>
      <c r="CC11" s="2256"/>
      <c r="CD11" s="2256"/>
      <c r="CE11" s="2256"/>
      <c r="CF11" s="2256"/>
      <c r="CG11" s="2256"/>
      <c r="CH11" s="2256"/>
      <c r="CI11" s="2256"/>
      <c r="CJ11" s="2256"/>
      <c r="CK11" s="2253"/>
      <c r="CL11" s="2262"/>
      <c r="CM11" s="2254"/>
      <c r="CN11" s="2254"/>
      <c r="CO11" s="2254"/>
      <c r="CP11" s="2254"/>
      <c r="CQ11" s="2254"/>
      <c r="CR11" s="2254"/>
      <c r="CS11" s="2254"/>
      <c r="CT11" s="2254"/>
      <c r="CU11" s="2254"/>
      <c r="CV11" s="2254"/>
      <c r="CW11" s="2254"/>
      <c r="CX11" s="2255"/>
      <c r="CY11" s="2252" t="s">
        <v>990</v>
      </c>
      <c r="CZ11" s="2256"/>
      <c r="DA11" s="2256"/>
      <c r="DB11" s="2256"/>
      <c r="DC11" s="2256"/>
      <c r="DD11" s="2256"/>
      <c r="DE11" s="2256"/>
      <c r="DF11" s="2256"/>
      <c r="DG11" s="2256"/>
      <c r="DH11" s="2256"/>
      <c r="DI11" s="2256"/>
      <c r="DJ11" s="2253"/>
      <c r="DK11" s="2262"/>
      <c r="DL11" s="2254"/>
      <c r="DM11" s="2254"/>
      <c r="DN11" s="2254"/>
      <c r="DO11" s="2254"/>
      <c r="DP11" s="2254"/>
      <c r="DQ11" s="2254"/>
      <c r="DR11" s="2254"/>
      <c r="DS11" s="2254"/>
      <c r="DT11" s="2254"/>
      <c r="DU11" s="2254"/>
      <c r="DV11" s="2254"/>
      <c r="DW11" s="2254"/>
      <c r="DX11" s="2254"/>
      <c r="DY11" s="2254"/>
      <c r="DZ11" s="2254"/>
      <c r="EA11" s="2254"/>
      <c r="EB11" s="2254"/>
      <c r="EC11" s="2254"/>
      <c r="ED11" s="2254"/>
      <c r="EE11" s="2254"/>
      <c r="EF11" s="2254"/>
      <c r="EG11" s="2254"/>
      <c r="EH11" s="2254"/>
      <c r="EI11" s="2254"/>
      <c r="EJ11" s="2254"/>
      <c r="EK11" s="2254"/>
      <c r="EL11" s="2254"/>
      <c r="EM11" s="2254"/>
      <c r="EN11" s="2254"/>
      <c r="EO11" s="2254"/>
      <c r="EP11" s="2254"/>
      <c r="EQ11" s="2254"/>
      <c r="ER11" s="2254"/>
      <c r="ES11" s="2254"/>
      <c r="ET11" s="2254"/>
      <c r="EU11" s="2254"/>
      <c r="EV11" s="2254"/>
      <c r="EW11" s="2254"/>
      <c r="EX11" s="2254"/>
      <c r="EY11" s="2254"/>
      <c r="EZ11" s="2254"/>
      <c r="FA11" s="2254"/>
      <c r="FB11" s="2254"/>
      <c r="FC11" s="2254"/>
      <c r="FD11" s="2254"/>
      <c r="FE11" s="2254"/>
      <c r="FF11" s="2254"/>
      <c r="FG11" s="2254"/>
      <c r="FH11" s="2254"/>
      <c r="FI11" s="2254"/>
      <c r="FJ11" s="2254"/>
      <c r="FK11" s="2254"/>
      <c r="FL11" s="2254"/>
      <c r="FM11" s="2254"/>
      <c r="FN11" s="2254"/>
      <c r="FO11" s="2254"/>
      <c r="FP11" s="2254"/>
      <c r="FQ11" s="2254"/>
      <c r="FR11" s="2254"/>
      <c r="FS11" s="2254"/>
      <c r="FT11" s="2254"/>
      <c r="FU11" s="2254"/>
      <c r="FV11" s="2254"/>
      <c r="FW11" s="2260"/>
      <c r="FX11" s="757"/>
    </row>
    <row customHeight="1" ht="12">
      <c r="D12" s="932"/>
      <c r="E12" s="931"/>
      <c r="F12" s="2039"/>
      <c r="G12" s="2039"/>
      <c r="H12" s="2273"/>
      <c r="I12" s="2273"/>
      <c r="J12" s="2272"/>
      <c r="K12" s="2272"/>
      <c r="L12" s="2272"/>
      <c r="M12" s="2272"/>
      <c r="N12" s="2272"/>
      <c r="O12" s="2044" t="s">
        <v>991</v>
      </c>
      <c r="P12" s="2044"/>
      <c r="Q12" s="2044"/>
      <c r="R12" s="2044"/>
      <c r="S12" s="2044" t="s">
        <v>992</v>
      </c>
      <c r="T12" s="2044"/>
      <c r="U12" s="2044"/>
      <c r="V12" s="2044"/>
      <c r="W12" s="2044"/>
      <c r="X12" s="2044"/>
      <c r="Y12" s="2044"/>
      <c r="Z12" s="2044"/>
      <c r="AA12" s="2044"/>
      <c r="AB12" s="2044"/>
      <c r="AC12" s="2254"/>
      <c r="AD12" s="2254"/>
      <c r="AE12" s="2254"/>
      <c r="AF12" s="2254"/>
      <c r="AG12" s="2254"/>
      <c r="AH12" s="2254"/>
      <c r="AI12" s="2254"/>
      <c r="AJ12" s="2254"/>
      <c r="AK12" s="2254"/>
      <c r="AL12" s="2254"/>
      <c r="AM12" s="2254"/>
      <c r="AN12" s="2254"/>
      <c r="AO12" s="2254"/>
      <c r="AP12" s="2254"/>
      <c r="AQ12" s="2254"/>
      <c r="AR12" s="2254"/>
      <c r="AS12" s="2254"/>
      <c r="AT12" s="2254"/>
      <c r="AU12" s="2254"/>
      <c r="AV12" s="2254"/>
      <c r="AW12" s="2254"/>
      <c r="AX12" s="2254"/>
      <c r="AY12" s="2254"/>
      <c r="AZ12" s="2254"/>
      <c r="BA12" s="2254"/>
      <c r="BB12" s="2254"/>
      <c r="BC12" s="2254"/>
      <c r="BD12" s="2254"/>
      <c r="BE12" s="2254"/>
      <c r="BF12" s="2254"/>
      <c r="BG12" s="2254"/>
      <c r="BH12" s="2254"/>
      <c r="BI12" s="2254"/>
      <c r="BJ12" s="2254"/>
      <c r="BK12" s="2254"/>
      <c r="BL12" s="2254"/>
      <c r="BM12" s="2254"/>
      <c r="BN12" s="2254"/>
      <c r="BO12" s="2254"/>
      <c r="BP12" s="2254"/>
      <c r="BQ12" s="2254"/>
      <c r="BR12" s="2254"/>
      <c r="BS12" s="2255"/>
      <c r="BT12" s="2252" t="s">
        <v>993</v>
      </c>
      <c r="BU12" s="2256"/>
      <c r="BV12" s="2256"/>
      <c r="BW12" s="2253"/>
      <c r="BX12" s="2252" t="s">
        <v>994</v>
      </c>
      <c r="BY12" s="2256"/>
      <c r="BZ12" s="2256"/>
      <c r="CA12" s="2253"/>
      <c r="CB12" s="2252" t="s">
        <v>995</v>
      </c>
      <c r="CC12" s="2253"/>
      <c r="CD12" s="2252" t="s">
        <v>996</v>
      </c>
      <c r="CE12" s="2256"/>
      <c r="CF12" s="2256"/>
      <c r="CG12" s="2256"/>
      <c r="CH12" s="2256"/>
      <c r="CI12" s="2256"/>
      <c r="CJ12" s="2256"/>
      <c r="CK12" s="2253"/>
      <c r="CL12" s="2262"/>
      <c r="CM12" s="2254"/>
      <c r="CN12" s="2254"/>
      <c r="CO12" s="2254"/>
      <c r="CP12" s="2254"/>
      <c r="CQ12" s="2254"/>
      <c r="CR12" s="2254"/>
      <c r="CS12" s="2254"/>
      <c r="CT12" s="2254"/>
      <c r="CU12" s="2254"/>
      <c r="CV12" s="2254"/>
      <c r="CW12" s="2254"/>
      <c r="CX12" s="2255"/>
      <c r="CY12" s="2252" t="s">
        <v>997</v>
      </c>
      <c r="CZ12" s="2256"/>
      <c r="DA12" s="2256"/>
      <c r="DB12" s="2256"/>
      <c r="DC12" s="2256"/>
      <c r="DD12" s="2253"/>
      <c r="DE12" s="2252" t="s">
        <v>998</v>
      </c>
      <c r="DF12" s="2253"/>
      <c r="DG12" s="2252" t="s">
        <v>996</v>
      </c>
      <c r="DH12" s="2256"/>
      <c r="DI12" s="2256"/>
      <c r="DJ12" s="2253"/>
      <c r="DK12" s="2262"/>
      <c r="DL12" s="2254"/>
      <c r="DM12" s="2254"/>
      <c r="DN12" s="2254"/>
      <c r="DO12" s="2254"/>
      <c r="DP12" s="2254"/>
      <c r="DQ12" s="2254"/>
      <c r="DR12" s="2254"/>
      <c r="DS12" s="2254"/>
      <c r="DT12" s="2254"/>
      <c r="DU12" s="2254"/>
      <c r="DV12" s="2254"/>
      <c r="DW12" s="2254"/>
      <c r="DX12" s="2254"/>
      <c r="DY12" s="2254"/>
      <c r="DZ12" s="2254"/>
      <c r="EA12" s="2254"/>
      <c r="EB12" s="2254"/>
      <c r="EC12" s="2254"/>
      <c r="ED12" s="2254"/>
      <c r="EE12" s="2254"/>
      <c r="EF12" s="2254"/>
      <c r="EG12" s="2254"/>
      <c r="EH12" s="2254"/>
      <c r="EI12" s="2254"/>
      <c r="EJ12" s="2254"/>
      <c r="EK12" s="2254"/>
      <c r="EL12" s="2254"/>
      <c r="EM12" s="2254"/>
      <c r="EN12" s="2254"/>
      <c r="EO12" s="2254"/>
      <c r="EP12" s="2254"/>
      <c r="EQ12" s="2254"/>
      <c r="ER12" s="2254"/>
      <c r="ES12" s="2254"/>
      <c r="ET12" s="2254"/>
      <c r="EU12" s="2254"/>
      <c r="EV12" s="2254"/>
      <c r="EW12" s="2254"/>
      <c r="EX12" s="2254"/>
      <c r="EY12" s="2254"/>
      <c r="EZ12" s="2254"/>
      <c r="FA12" s="2254"/>
      <c r="FB12" s="2254"/>
      <c r="FC12" s="2254"/>
      <c r="FD12" s="2254"/>
      <c r="FE12" s="2254"/>
      <c r="FF12" s="2254"/>
      <c r="FG12" s="2254"/>
      <c r="FH12" s="2254"/>
      <c r="FI12" s="2254"/>
      <c r="FJ12" s="2254"/>
      <c r="FK12" s="2254"/>
      <c r="FL12" s="2254"/>
      <c r="FM12" s="2254"/>
      <c r="FN12" s="2254"/>
      <c r="FO12" s="2254"/>
      <c r="FP12" s="2254"/>
      <c r="FQ12" s="2254"/>
      <c r="FR12" s="2254"/>
      <c r="FS12" s="2254"/>
      <c r="FT12" s="2254"/>
      <c r="FU12" s="2254"/>
      <c r="FV12" s="2254"/>
      <c r="FW12" s="2260"/>
      <c r="FX12" s="757"/>
    </row>
    <row customHeight="1" ht="36">
      <c r="D13" s="932"/>
      <c r="E13" s="931"/>
      <c r="F13" s="2039"/>
      <c r="G13" s="2039"/>
      <c r="H13" s="2273"/>
      <c r="I13" s="2273"/>
      <c r="J13" s="2272"/>
      <c r="K13" s="2272"/>
      <c r="L13" s="2272"/>
      <c r="M13" s="2272"/>
      <c r="N13" s="2272"/>
      <c r="O13" s="2044" t="s">
        <v>999</v>
      </c>
      <c r="P13" s="2044"/>
      <c r="Q13" s="2044"/>
      <c r="R13" s="2044"/>
      <c r="S13" s="2171" t="s">
        <v>1000</v>
      </c>
      <c r="T13" s="2250"/>
      <c r="U13" s="1953" t="s">
        <v>1001</v>
      </c>
      <c r="V13" s="1953"/>
      <c r="W13" s="1953"/>
      <c r="X13" s="1953"/>
      <c r="Y13" s="1953" t="s">
        <v>1002</v>
      </c>
      <c r="Z13" s="1953"/>
      <c r="AA13" s="1953"/>
      <c r="AB13" s="1953"/>
      <c r="AC13" s="2254"/>
      <c r="AD13" s="2254"/>
      <c r="AE13" s="2254"/>
      <c r="AF13" s="2254"/>
      <c r="AG13" s="2254"/>
      <c r="AH13" s="2254"/>
      <c r="AI13" s="2254"/>
      <c r="AJ13" s="2254"/>
      <c r="AK13" s="2254"/>
      <c r="AL13" s="2254"/>
      <c r="AM13" s="2254"/>
      <c r="AN13" s="2254"/>
      <c r="AO13" s="2254"/>
      <c r="AP13" s="2254"/>
      <c r="AQ13" s="2254"/>
      <c r="AR13" s="2254"/>
      <c r="AS13" s="2254"/>
      <c r="AT13" s="2254"/>
      <c r="AU13" s="2254"/>
      <c r="AV13" s="2254"/>
      <c r="AW13" s="2254"/>
      <c r="AX13" s="2254"/>
      <c r="AY13" s="2254"/>
      <c r="AZ13" s="2254"/>
      <c r="BA13" s="2254"/>
      <c r="BB13" s="2254"/>
      <c r="BC13" s="2254"/>
      <c r="BD13" s="2254"/>
      <c r="BE13" s="2254"/>
      <c r="BF13" s="2254"/>
      <c r="BG13" s="2254"/>
      <c r="BH13" s="2254"/>
      <c r="BI13" s="2254"/>
      <c r="BJ13" s="2254"/>
      <c r="BK13" s="2254"/>
      <c r="BL13" s="2254"/>
      <c r="BM13" s="2254"/>
      <c r="BN13" s="2254"/>
      <c r="BO13" s="2254"/>
      <c r="BP13" s="2254"/>
      <c r="BQ13" s="2254"/>
      <c r="BR13" s="2254"/>
      <c r="BS13" s="2255"/>
      <c r="BT13" s="2171" t="s">
        <v>1003</v>
      </c>
      <c r="BU13" s="2250"/>
      <c r="BV13" s="2171" t="s">
        <v>1004</v>
      </c>
      <c r="BW13" s="2250"/>
      <c r="BX13" s="2171" t="s">
        <v>1005</v>
      </c>
      <c r="BY13" s="2250"/>
      <c r="BZ13" s="2171" t="s">
        <v>1006</v>
      </c>
      <c r="CA13" s="2250"/>
      <c r="CB13" s="2171" t="s">
        <v>1007</v>
      </c>
      <c r="CC13" s="2250"/>
      <c r="CD13" s="2171" t="s">
        <v>1008</v>
      </c>
      <c r="CE13" s="2250"/>
      <c r="CF13" s="2171" t="s">
        <v>1009</v>
      </c>
      <c r="CG13" s="2250"/>
      <c r="CH13" s="2252" t="s">
        <v>1010</v>
      </c>
      <c r="CI13" s="2256"/>
      <c r="CJ13" s="2256"/>
      <c r="CK13" s="2253"/>
      <c r="CL13" s="2262"/>
      <c r="CM13" s="2254"/>
      <c r="CN13" s="2254"/>
      <c r="CO13" s="2254"/>
      <c r="CP13" s="2254"/>
      <c r="CQ13" s="2254"/>
      <c r="CR13" s="2254"/>
      <c r="CS13" s="2254"/>
      <c r="CT13" s="2254"/>
      <c r="CU13" s="2254"/>
      <c r="CV13" s="2254"/>
      <c r="CW13" s="2254"/>
      <c r="CX13" s="2255"/>
      <c r="CY13" s="2171" t="s">
        <v>1011</v>
      </c>
      <c r="CZ13" s="2250"/>
      <c r="DA13" s="2171" t="s">
        <v>1012</v>
      </c>
      <c r="DB13" s="2250"/>
      <c r="DC13" s="2171" t="s">
        <v>1013</v>
      </c>
      <c r="DD13" s="2250"/>
      <c r="DE13" s="2171" t="s">
        <v>1014</v>
      </c>
      <c r="DF13" s="2250"/>
      <c r="DG13" s="2252" t="s">
        <v>1015</v>
      </c>
      <c r="DH13" s="2256"/>
      <c r="DI13" s="2256"/>
      <c r="DJ13" s="2253"/>
      <c r="DK13" s="2262"/>
      <c r="DL13" s="2254"/>
      <c r="DM13" s="2254"/>
      <c r="DN13" s="2254"/>
      <c r="DO13" s="2254"/>
      <c r="DP13" s="2254"/>
      <c r="DQ13" s="2254"/>
      <c r="DR13" s="2254"/>
      <c r="DS13" s="2254"/>
      <c r="DT13" s="2254"/>
      <c r="DU13" s="2254"/>
      <c r="DV13" s="2254"/>
      <c r="DW13" s="2254"/>
      <c r="DX13" s="2254"/>
      <c r="DY13" s="2254"/>
      <c r="DZ13" s="2254"/>
      <c r="EA13" s="2254"/>
      <c r="EB13" s="2254"/>
      <c r="EC13" s="2254"/>
      <c r="ED13" s="2254"/>
      <c r="EE13" s="2254"/>
      <c r="EF13" s="2254"/>
      <c r="EG13" s="2254"/>
      <c r="EH13" s="2254"/>
      <c r="EI13" s="2254"/>
      <c r="EJ13" s="2254"/>
      <c r="EK13" s="2254"/>
      <c r="EL13" s="2254"/>
      <c r="EM13" s="2254"/>
      <c r="EN13" s="2254"/>
      <c r="EO13" s="2254"/>
      <c r="EP13" s="2254"/>
      <c r="EQ13" s="2254"/>
      <c r="ER13" s="2254"/>
      <c r="ES13" s="2254"/>
      <c r="ET13" s="2254"/>
      <c r="EU13" s="2254"/>
      <c r="EV13" s="2254"/>
      <c r="EW13" s="2254"/>
      <c r="EX13" s="2254"/>
      <c r="EY13" s="2254"/>
      <c r="EZ13" s="2254"/>
      <c r="FA13" s="2254"/>
      <c r="FB13" s="2254"/>
      <c r="FC13" s="2254"/>
      <c r="FD13" s="2254"/>
      <c r="FE13" s="2254"/>
      <c r="FF13" s="2254"/>
      <c r="FG13" s="2254"/>
      <c r="FH13" s="2254"/>
      <c r="FI13" s="2254"/>
      <c r="FJ13" s="2254"/>
      <c r="FK13" s="2254"/>
      <c r="FL13" s="2254"/>
      <c r="FM13" s="2254"/>
      <c r="FN13" s="2254"/>
      <c r="FO13" s="2254"/>
      <c r="FP13" s="2254"/>
      <c r="FQ13" s="2254"/>
      <c r="FR13" s="2254"/>
      <c r="FS13" s="2254"/>
      <c r="FT13" s="2254"/>
      <c r="FU13" s="2254"/>
      <c r="FV13" s="2254"/>
      <c r="FW13" s="2260"/>
      <c r="FX13" s="757"/>
    </row>
    <row customHeight="1" ht="36">
      <c r="D14" s="932"/>
      <c r="E14" s="931"/>
      <c r="F14" s="2039"/>
      <c r="G14" s="2039"/>
      <c r="H14" s="2273"/>
      <c r="I14" s="2273"/>
      <c r="J14" s="2272"/>
      <c r="K14" s="2272"/>
      <c r="L14" s="2272"/>
      <c r="M14" s="2272"/>
      <c r="N14" s="2272"/>
      <c r="O14" s="2171" t="s">
        <v>1016</v>
      </c>
      <c r="P14" s="2250"/>
      <c r="Q14" s="2171" t="s">
        <v>1017</v>
      </c>
      <c r="R14" s="2250"/>
      <c r="S14" s="2172"/>
      <c r="T14" s="2045"/>
      <c r="U14" s="2171" t="s">
        <v>749</v>
      </c>
      <c r="V14" s="2250"/>
      <c r="W14" s="2171" t="s">
        <v>752</v>
      </c>
      <c r="X14" s="2250"/>
      <c r="Y14" s="2171" t="s">
        <v>749</v>
      </c>
      <c r="Z14" s="2250"/>
      <c r="AA14" s="2171" t="s">
        <v>759</v>
      </c>
      <c r="AB14" s="2250"/>
      <c r="AC14" s="2254"/>
      <c r="AD14" s="2254"/>
      <c r="AE14" s="2254"/>
      <c r="AF14" s="2254"/>
      <c r="AG14" s="2254"/>
      <c r="AH14" s="2254"/>
      <c r="AI14" s="2254"/>
      <c r="AJ14" s="2254"/>
      <c r="AK14" s="2254"/>
      <c r="AL14" s="2254"/>
      <c r="AM14" s="2254"/>
      <c r="AN14" s="2254"/>
      <c r="AO14" s="2254"/>
      <c r="AP14" s="2254"/>
      <c r="AQ14" s="2254"/>
      <c r="AR14" s="2254"/>
      <c r="AS14" s="2254"/>
      <c r="AT14" s="2254"/>
      <c r="AU14" s="2254"/>
      <c r="AV14" s="2254"/>
      <c r="AW14" s="2254"/>
      <c r="AX14" s="2254"/>
      <c r="AY14" s="2254"/>
      <c r="AZ14" s="2254"/>
      <c r="BA14" s="2254"/>
      <c r="BB14" s="2254"/>
      <c r="BC14" s="2254"/>
      <c r="BD14" s="2254"/>
      <c r="BE14" s="2254"/>
      <c r="BF14" s="2254"/>
      <c r="BG14" s="2254"/>
      <c r="BH14" s="2254"/>
      <c r="BI14" s="2254"/>
      <c r="BJ14" s="2254"/>
      <c r="BK14" s="2254"/>
      <c r="BL14" s="2254"/>
      <c r="BM14" s="2254"/>
      <c r="BN14" s="2254"/>
      <c r="BO14" s="2254"/>
      <c r="BP14" s="2254"/>
      <c r="BQ14" s="2254"/>
      <c r="BR14" s="2254"/>
      <c r="BS14" s="2255"/>
      <c r="BT14" s="2172"/>
      <c r="BU14" s="2045"/>
      <c r="BV14" s="2172"/>
      <c r="BW14" s="2045"/>
      <c r="BX14" s="2172"/>
      <c r="BY14" s="2045"/>
      <c r="BZ14" s="2172"/>
      <c r="CA14" s="2045"/>
      <c r="CB14" s="2172"/>
      <c r="CC14" s="2045"/>
      <c r="CD14" s="2172"/>
      <c r="CE14" s="2045"/>
      <c r="CF14" s="2172"/>
      <c r="CG14" s="2045"/>
      <c r="CH14" s="2171" t="s">
        <v>1018</v>
      </c>
      <c r="CI14" s="2250"/>
      <c r="CJ14" s="2171" t="s">
        <v>1019</v>
      </c>
      <c r="CK14" s="2250"/>
      <c r="CL14" s="2262"/>
      <c r="CM14" s="2254"/>
      <c r="CN14" s="2254"/>
      <c r="CO14" s="2254"/>
      <c r="CP14" s="2254"/>
      <c r="CQ14" s="2254"/>
      <c r="CR14" s="2254"/>
      <c r="CS14" s="2254"/>
      <c r="CT14" s="2254"/>
      <c r="CU14" s="2254"/>
      <c r="CV14" s="2254"/>
      <c r="CW14" s="2254"/>
      <c r="CX14" s="2255"/>
      <c r="CY14" s="2172"/>
      <c r="CZ14" s="2045"/>
      <c r="DA14" s="2172"/>
      <c r="DB14" s="2045"/>
      <c r="DC14" s="2172"/>
      <c r="DD14" s="2045"/>
      <c r="DE14" s="2172"/>
      <c r="DF14" s="2045"/>
      <c r="DG14" s="2171" t="s">
        <v>1020</v>
      </c>
      <c r="DH14" s="2250"/>
      <c r="DI14" s="2171" t="s">
        <v>1021</v>
      </c>
      <c r="DJ14" s="2250"/>
      <c r="DK14" s="2262"/>
      <c r="DL14" s="2254"/>
      <c r="DM14" s="2254"/>
      <c r="DN14" s="2254"/>
      <c r="DO14" s="2254"/>
      <c r="DP14" s="2254"/>
      <c r="DQ14" s="2254"/>
      <c r="DR14" s="2254"/>
      <c r="DS14" s="2254"/>
      <c r="DT14" s="2254"/>
      <c r="DU14" s="2254"/>
      <c r="DV14" s="2254"/>
      <c r="DW14" s="2254"/>
      <c r="DX14" s="2254"/>
      <c r="DY14" s="2254"/>
      <c r="DZ14" s="2254"/>
      <c r="EA14" s="2254"/>
      <c r="EB14" s="2254"/>
      <c r="EC14" s="2254"/>
      <c r="ED14" s="2254"/>
      <c r="EE14" s="2254"/>
      <c r="EF14" s="2254"/>
      <c r="EG14" s="2254"/>
      <c r="EH14" s="2254"/>
      <c r="EI14" s="2254"/>
      <c r="EJ14" s="2254"/>
      <c r="EK14" s="2254"/>
      <c r="EL14" s="2254"/>
      <c r="EM14" s="2254"/>
      <c r="EN14" s="2254"/>
      <c r="EO14" s="2254"/>
      <c r="EP14" s="2254"/>
      <c r="EQ14" s="2254"/>
      <c r="ER14" s="2254"/>
      <c r="ES14" s="2254"/>
      <c r="ET14" s="2254"/>
      <c r="EU14" s="2254"/>
      <c r="EV14" s="2254"/>
      <c r="EW14" s="2254"/>
      <c r="EX14" s="2254"/>
      <c r="EY14" s="2254"/>
      <c r="EZ14" s="2254"/>
      <c r="FA14" s="2254"/>
      <c r="FB14" s="2254"/>
      <c r="FC14" s="2254"/>
      <c r="FD14" s="2254"/>
      <c r="FE14" s="2254"/>
      <c r="FF14" s="2254"/>
      <c r="FG14" s="2254"/>
      <c r="FH14" s="2254"/>
      <c r="FI14" s="2254"/>
      <c r="FJ14" s="2254"/>
      <c r="FK14" s="2254"/>
      <c r="FL14" s="2254"/>
      <c r="FM14" s="2254"/>
      <c r="FN14" s="2254"/>
      <c r="FO14" s="2254"/>
      <c r="FP14" s="2254"/>
      <c r="FQ14" s="2254"/>
      <c r="FR14" s="2254"/>
      <c r="FS14" s="2254"/>
      <c r="FT14" s="2254"/>
      <c r="FU14" s="2254"/>
      <c r="FV14" s="2254"/>
      <c r="FW14" s="2260"/>
      <c r="FX14" s="757"/>
    </row>
    <row customHeight="1" ht="36">
      <c r="D15" s="932"/>
      <c r="E15" s="931"/>
      <c r="F15" s="2039"/>
      <c r="G15" s="2039"/>
      <c r="H15" s="2273"/>
      <c r="I15" s="2273"/>
      <c r="J15" s="2272"/>
      <c r="K15" s="2272"/>
      <c r="L15" s="2272"/>
      <c r="M15" s="2272"/>
      <c r="N15" s="2272"/>
      <c r="O15" s="2173"/>
      <c r="P15" s="2251"/>
      <c r="Q15" s="2173"/>
      <c r="R15" s="2251"/>
      <c r="S15" s="2173"/>
      <c r="T15" s="2251"/>
      <c r="U15" s="2173"/>
      <c r="V15" s="2251"/>
      <c r="W15" s="2173"/>
      <c r="X15" s="2251"/>
      <c r="Y15" s="2173"/>
      <c r="Z15" s="2251"/>
      <c r="AA15" s="2173"/>
      <c r="AB15" s="2251"/>
      <c r="AC15" s="2254"/>
      <c r="AD15" s="2254"/>
      <c r="AE15" s="2254"/>
      <c r="AF15" s="2254"/>
      <c r="AG15" s="2254"/>
      <c r="AH15" s="2254"/>
      <c r="AI15" s="2254"/>
      <c r="AJ15" s="2254"/>
      <c r="AK15" s="2254"/>
      <c r="AL15" s="2254"/>
      <c r="AM15" s="2254"/>
      <c r="AN15" s="2254"/>
      <c r="AO15" s="2254"/>
      <c r="AP15" s="2254"/>
      <c r="AQ15" s="2254"/>
      <c r="AR15" s="2254"/>
      <c r="AS15" s="2254"/>
      <c r="AT15" s="2254"/>
      <c r="AU15" s="2254"/>
      <c r="AV15" s="2254"/>
      <c r="AW15" s="2254"/>
      <c r="AX15" s="2254"/>
      <c r="AY15" s="2254"/>
      <c r="AZ15" s="2254"/>
      <c r="BA15" s="2254"/>
      <c r="BB15" s="2254"/>
      <c r="BC15" s="2254"/>
      <c r="BD15" s="2254"/>
      <c r="BE15" s="2254"/>
      <c r="BF15" s="2254"/>
      <c r="BG15" s="2254"/>
      <c r="BH15" s="2254"/>
      <c r="BI15" s="2254"/>
      <c r="BJ15" s="2254"/>
      <c r="BK15" s="2254"/>
      <c r="BL15" s="2254"/>
      <c r="BM15" s="2254"/>
      <c r="BN15" s="2254"/>
      <c r="BO15" s="2254"/>
      <c r="BP15" s="2254"/>
      <c r="BQ15" s="2254"/>
      <c r="BR15" s="2254"/>
      <c r="BS15" s="2255"/>
      <c r="BT15" s="2173"/>
      <c r="BU15" s="2251"/>
      <c r="BV15" s="2173"/>
      <c r="BW15" s="2251"/>
      <c r="BX15" s="2173"/>
      <c r="BY15" s="2251"/>
      <c r="BZ15" s="2173"/>
      <c r="CA15" s="2251"/>
      <c r="CB15" s="2173"/>
      <c r="CC15" s="2251"/>
      <c r="CD15" s="2173"/>
      <c r="CE15" s="2251"/>
      <c r="CF15" s="2173"/>
      <c r="CG15" s="2251"/>
      <c r="CH15" s="2173"/>
      <c r="CI15" s="2251"/>
      <c r="CJ15" s="2173"/>
      <c r="CK15" s="2251"/>
      <c r="CL15" s="2262"/>
      <c r="CM15" s="2254"/>
      <c r="CN15" s="2254"/>
      <c r="CO15" s="2254"/>
      <c r="CP15" s="2254"/>
      <c r="CQ15" s="2254"/>
      <c r="CR15" s="2254"/>
      <c r="CS15" s="2254"/>
      <c r="CT15" s="2254"/>
      <c r="CU15" s="2254"/>
      <c r="CV15" s="2254"/>
      <c r="CW15" s="2254"/>
      <c r="CX15" s="2255"/>
      <c r="CY15" s="2173"/>
      <c r="CZ15" s="2251"/>
      <c r="DA15" s="2173"/>
      <c r="DB15" s="2251"/>
      <c r="DC15" s="2173"/>
      <c r="DD15" s="2251"/>
      <c r="DE15" s="2173"/>
      <c r="DF15" s="2251"/>
      <c r="DG15" s="2173"/>
      <c r="DH15" s="2251"/>
      <c r="DI15" s="2173"/>
      <c r="DJ15" s="2251"/>
      <c r="DK15" s="2262"/>
      <c r="DL15" s="2254"/>
      <c r="DM15" s="2254"/>
      <c r="DN15" s="2254"/>
      <c r="DO15" s="2254"/>
      <c r="DP15" s="2254"/>
      <c r="DQ15" s="2254"/>
      <c r="DR15" s="2254"/>
      <c r="DS15" s="2254"/>
      <c r="DT15" s="2254"/>
      <c r="DU15" s="2254"/>
      <c r="DV15" s="2254"/>
      <c r="DW15" s="2254"/>
      <c r="DX15" s="2254"/>
      <c r="DY15" s="2254"/>
      <c r="DZ15" s="2254"/>
      <c r="EA15" s="2254"/>
      <c r="EB15" s="2254"/>
      <c r="EC15" s="2254"/>
      <c r="ED15" s="2254"/>
      <c r="EE15" s="2254"/>
      <c r="EF15" s="2254"/>
      <c r="EG15" s="2254"/>
      <c r="EH15" s="2254"/>
      <c r="EI15" s="2254"/>
      <c r="EJ15" s="2254"/>
      <c r="EK15" s="2254"/>
      <c r="EL15" s="2254"/>
      <c r="EM15" s="2254"/>
      <c r="EN15" s="2254"/>
      <c r="EO15" s="2254"/>
      <c r="EP15" s="2254"/>
      <c r="EQ15" s="2254"/>
      <c r="ER15" s="2254"/>
      <c r="ES15" s="2254"/>
      <c r="ET15" s="2254"/>
      <c r="EU15" s="2254"/>
      <c r="EV15" s="2254"/>
      <c r="EW15" s="2254"/>
      <c r="EX15" s="2254"/>
      <c r="EY15" s="2254"/>
      <c r="EZ15" s="2254"/>
      <c r="FA15" s="2254"/>
      <c r="FB15" s="2254"/>
      <c r="FC15" s="2254"/>
      <c r="FD15" s="2254"/>
      <c r="FE15" s="2254"/>
      <c r="FF15" s="2254"/>
      <c r="FG15" s="2254"/>
      <c r="FH15" s="2254"/>
      <c r="FI15" s="2254"/>
      <c r="FJ15" s="2254"/>
      <c r="FK15" s="2254"/>
      <c r="FL15" s="2254"/>
      <c r="FM15" s="2254"/>
      <c r="FN15" s="2254"/>
      <c r="FO15" s="2254"/>
      <c r="FP15" s="2254"/>
      <c r="FQ15" s="2254"/>
      <c r="FR15" s="2254"/>
      <c r="FS15" s="2254"/>
      <c r="FT15" s="2254"/>
      <c r="FU15" s="2254"/>
      <c r="FV15" s="2254"/>
      <c r="FW15" s="2260"/>
      <c r="FX15" s="757"/>
    </row>
    <row customHeight="1" ht="12">
      <c r="D16" s="932"/>
      <c r="E16" s="931"/>
      <c r="F16" s="2039"/>
      <c r="G16" s="2039"/>
      <c r="H16" s="2273"/>
      <c r="I16" s="2273"/>
      <c r="J16" s="2272"/>
      <c r="K16" s="2272"/>
      <c r="L16" s="2272"/>
      <c r="M16" s="2272"/>
      <c r="N16" s="2272"/>
      <c r="O16" s="2252" t="s">
        <v>739</v>
      </c>
      <c r="P16" s="2253"/>
      <c r="Q16" s="2252" t="s">
        <v>741</v>
      </c>
      <c r="R16" s="2253"/>
      <c r="S16" s="2252" t="s">
        <v>745</v>
      </c>
      <c r="T16" s="2253"/>
      <c r="U16" s="2252" t="s">
        <v>750</v>
      </c>
      <c r="V16" s="2253"/>
      <c r="W16" s="2252" t="s">
        <v>753</v>
      </c>
      <c r="X16" s="2253"/>
      <c r="Y16" s="2252" t="s">
        <v>757</v>
      </c>
      <c r="Z16" s="2253"/>
      <c r="AA16" s="2252" t="s">
        <v>760</v>
      </c>
      <c r="AB16" s="2253"/>
      <c r="AC16" s="2254"/>
      <c r="AD16" s="2254"/>
      <c r="AE16" s="2254"/>
      <c r="AF16" s="2254"/>
      <c r="AG16" s="2254"/>
      <c r="AH16" s="2254"/>
      <c r="AI16" s="2254"/>
      <c r="AJ16" s="2254"/>
      <c r="AK16" s="2254"/>
      <c r="AL16" s="2254"/>
      <c r="AM16" s="2254"/>
      <c r="AN16" s="2254"/>
      <c r="AO16" s="2254"/>
      <c r="AP16" s="2254"/>
      <c r="AQ16" s="2254"/>
      <c r="AR16" s="2254"/>
      <c r="AS16" s="2254"/>
      <c r="AT16" s="2254"/>
      <c r="AU16" s="2254"/>
      <c r="AV16" s="2254"/>
      <c r="AW16" s="2254"/>
      <c r="AX16" s="2254"/>
      <c r="AY16" s="2254"/>
      <c r="AZ16" s="2254"/>
      <c r="BA16" s="2254"/>
      <c r="BB16" s="2254"/>
      <c r="BC16" s="2254"/>
      <c r="BD16" s="2254"/>
      <c r="BE16" s="2254"/>
      <c r="BF16" s="2254"/>
      <c r="BG16" s="2254"/>
      <c r="BH16" s="2254"/>
      <c r="BI16" s="2254"/>
      <c r="BJ16" s="2254"/>
      <c r="BK16" s="2254"/>
      <c r="BL16" s="2254"/>
      <c r="BM16" s="2254"/>
      <c r="BN16" s="2254"/>
      <c r="BO16" s="2254"/>
      <c r="BP16" s="2254"/>
      <c r="BQ16" s="2254"/>
      <c r="BR16" s="2254"/>
      <c r="BS16" s="2255"/>
      <c r="BT16" s="2252" t="s">
        <v>557</v>
      </c>
      <c r="BU16" s="2253"/>
      <c r="BV16" s="2252" t="s">
        <v>557</v>
      </c>
      <c r="BW16" s="2253"/>
      <c r="BX16" s="2252" t="s">
        <v>557</v>
      </c>
      <c r="BY16" s="2253"/>
      <c r="BZ16" s="2252" t="s">
        <v>557</v>
      </c>
      <c r="CA16" s="2253"/>
      <c r="CB16" s="2252" t="s">
        <v>1022</v>
      </c>
      <c r="CC16" s="2253"/>
      <c r="CD16" s="2252" t="s">
        <v>557</v>
      </c>
      <c r="CE16" s="2253"/>
      <c r="CF16" s="2252" t="s">
        <v>1023</v>
      </c>
      <c r="CG16" s="2253"/>
      <c r="CH16" s="2252" t="s">
        <v>1024</v>
      </c>
      <c r="CI16" s="2253"/>
      <c r="CJ16" s="2252" t="s">
        <v>1024</v>
      </c>
      <c r="CK16" s="2253"/>
      <c r="CL16" s="2262"/>
      <c r="CM16" s="2254"/>
      <c r="CN16" s="2254"/>
      <c r="CO16" s="2254"/>
      <c r="CP16" s="2254"/>
      <c r="CQ16" s="2254"/>
      <c r="CR16" s="2254"/>
      <c r="CS16" s="2254"/>
      <c r="CT16" s="2254"/>
      <c r="CU16" s="2254"/>
      <c r="CV16" s="2254"/>
      <c r="CW16" s="2254"/>
      <c r="CX16" s="2255"/>
      <c r="CY16" s="2171" t="s">
        <v>557</v>
      </c>
      <c r="CZ16" s="2250"/>
      <c r="DA16" s="2171" t="s">
        <v>557</v>
      </c>
      <c r="DB16" s="2250"/>
      <c r="DC16" s="2171" t="s">
        <v>557</v>
      </c>
      <c r="DD16" s="2250"/>
      <c r="DE16" s="2252" t="s">
        <v>1022</v>
      </c>
      <c r="DF16" s="2253"/>
      <c r="DG16" s="2252" t="s">
        <v>1025</v>
      </c>
      <c r="DH16" s="2253"/>
      <c r="DI16" s="2252" t="s">
        <v>1025</v>
      </c>
      <c r="DJ16" s="2253"/>
      <c r="DK16" s="2262"/>
      <c r="DL16" s="2254"/>
      <c r="DM16" s="2254"/>
      <c r="DN16" s="2254"/>
      <c r="DO16" s="2254"/>
      <c r="DP16" s="2254"/>
      <c r="DQ16" s="2254"/>
      <c r="DR16" s="2254"/>
      <c r="DS16" s="2254"/>
      <c r="DT16" s="2254"/>
      <c r="DU16" s="2254"/>
      <c r="DV16" s="2254"/>
      <c r="DW16" s="2254"/>
      <c r="DX16" s="2254"/>
      <c r="DY16" s="2254"/>
      <c r="DZ16" s="2254"/>
      <c r="EA16" s="2254"/>
      <c r="EB16" s="2254"/>
      <c r="EC16" s="2254"/>
      <c r="ED16" s="2254"/>
      <c r="EE16" s="2254"/>
      <c r="EF16" s="2254"/>
      <c r="EG16" s="2254"/>
      <c r="EH16" s="2254"/>
      <c r="EI16" s="2254"/>
      <c r="EJ16" s="2254"/>
      <c r="EK16" s="2254"/>
      <c r="EL16" s="2254"/>
      <c r="EM16" s="2254"/>
      <c r="EN16" s="2254"/>
      <c r="EO16" s="2254"/>
      <c r="EP16" s="2254"/>
      <c r="EQ16" s="2254"/>
      <c r="ER16" s="2254"/>
      <c r="ES16" s="2254"/>
      <c r="ET16" s="2254"/>
      <c r="EU16" s="2254"/>
      <c r="EV16" s="2254"/>
      <c r="EW16" s="2254"/>
      <c r="EX16" s="2254"/>
      <c r="EY16" s="2254"/>
      <c r="EZ16" s="2254"/>
      <c r="FA16" s="2254"/>
      <c r="FB16" s="2254"/>
      <c r="FC16" s="2254"/>
      <c r="FD16" s="2254"/>
      <c r="FE16" s="2254"/>
      <c r="FF16" s="2254"/>
      <c r="FG16" s="2254"/>
      <c r="FH16" s="2254"/>
      <c r="FI16" s="2254"/>
      <c r="FJ16" s="2254"/>
      <c r="FK16" s="2254"/>
      <c r="FL16" s="2254"/>
      <c r="FM16" s="2254"/>
      <c r="FN16" s="2254"/>
      <c r="FO16" s="2254"/>
      <c r="FP16" s="2254"/>
      <c r="FQ16" s="2254"/>
      <c r="FR16" s="2254"/>
      <c r="FS16" s="2254"/>
      <c r="FT16" s="2254"/>
      <c r="FU16" s="2254"/>
      <c r="FV16" s="2254"/>
      <c r="FW16" s="2260"/>
      <c r="FX16" s="757"/>
    </row>
    <row customHeight="1" ht="15">
      <c r="E17" s="931"/>
      <c r="F17" s="2039"/>
      <c r="G17" s="2039"/>
      <c r="H17" s="2273"/>
      <c r="I17" s="2273"/>
      <c r="J17" s="2272"/>
      <c r="K17" s="2272"/>
      <c r="L17" s="2272"/>
      <c r="M17" s="2272"/>
      <c r="N17" s="2272"/>
      <c r="O17" s="1188" t="s">
        <v>1026</v>
      </c>
      <c r="P17" s="1188" t="s">
        <v>1027</v>
      </c>
      <c r="Q17" s="1188" t="s">
        <v>1026</v>
      </c>
      <c r="R17" s="1188" t="s">
        <v>1027</v>
      </c>
      <c r="S17" s="1188" t="s">
        <v>1026</v>
      </c>
      <c r="T17" s="1188" t="s">
        <v>1027</v>
      </c>
      <c r="U17" s="1188" t="s">
        <v>1026</v>
      </c>
      <c r="V17" s="1188" t="s">
        <v>1027</v>
      </c>
      <c r="W17" s="1188" t="s">
        <v>1026</v>
      </c>
      <c r="X17" s="1188" t="s">
        <v>1027</v>
      </c>
      <c r="Y17" s="1188" t="s">
        <v>1026</v>
      </c>
      <c r="Z17" s="1188" t="s">
        <v>1027</v>
      </c>
      <c r="AA17" s="1188" t="s">
        <v>1026</v>
      </c>
      <c r="AB17" s="1188" t="s">
        <v>1027</v>
      </c>
      <c r="AC17" s="2254"/>
      <c r="AD17" s="2254"/>
      <c r="AE17" s="2254"/>
      <c r="AF17" s="2254"/>
      <c r="AG17" s="2254"/>
      <c r="AH17" s="2254"/>
      <c r="AI17" s="2254"/>
      <c r="AJ17" s="2254"/>
      <c r="AK17" s="2254"/>
      <c r="AL17" s="2254"/>
      <c r="AM17" s="2254"/>
      <c r="AN17" s="2254"/>
      <c r="AO17" s="2254"/>
      <c r="AP17" s="2254"/>
      <c r="AQ17" s="2254"/>
      <c r="AR17" s="2254"/>
      <c r="AS17" s="2254"/>
      <c r="AT17" s="2254"/>
      <c r="AU17" s="2254"/>
      <c r="AV17" s="2254"/>
      <c r="AW17" s="2254"/>
      <c r="AX17" s="2254"/>
      <c r="AY17" s="2254"/>
      <c r="AZ17" s="2254"/>
      <c r="BA17" s="2254"/>
      <c r="BB17" s="2254"/>
      <c r="BC17" s="2254"/>
      <c r="BD17" s="2254"/>
      <c r="BE17" s="2254"/>
      <c r="BF17" s="2254"/>
      <c r="BG17" s="2254"/>
      <c r="BH17" s="2254"/>
      <c r="BI17" s="2254"/>
      <c r="BJ17" s="2254"/>
      <c r="BK17" s="2254"/>
      <c r="BL17" s="2254"/>
      <c r="BM17" s="2254"/>
      <c r="BN17" s="2254"/>
      <c r="BO17" s="2254"/>
      <c r="BP17" s="2254"/>
      <c r="BQ17" s="2254"/>
      <c r="BR17" s="2254"/>
      <c r="BS17" s="2255"/>
      <c r="BT17" s="1188" t="s">
        <v>1026</v>
      </c>
      <c r="BU17" s="1188" t="s">
        <v>1027</v>
      </c>
      <c r="BV17" s="1188" t="s">
        <v>1026</v>
      </c>
      <c r="BW17" s="1188" t="s">
        <v>1027</v>
      </c>
      <c r="BX17" s="1188" t="s">
        <v>1026</v>
      </c>
      <c r="BY17" s="1188" t="s">
        <v>1027</v>
      </c>
      <c r="BZ17" s="1188" t="s">
        <v>1026</v>
      </c>
      <c r="CA17" s="1188" t="s">
        <v>1027</v>
      </c>
      <c r="CB17" s="1188" t="s">
        <v>1026</v>
      </c>
      <c r="CC17" s="1188" t="s">
        <v>1027</v>
      </c>
      <c r="CD17" s="1188" t="s">
        <v>1026</v>
      </c>
      <c r="CE17" s="1188" t="s">
        <v>1027</v>
      </c>
      <c r="CF17" s="1188" t="s">
        <v>1026</v>
      </c>
      <c r="CG17" s="1188" t="s">
        <v>1027</v>
      </c>
      <c r="CH17" s="1188" t="s">
        <v>1026</v>
      </c>
      <c r="CI17" s="1188" t="s">
        <v>1027</v>
      </c>
      <c r="CJ17" s="1188" t="s">
        <v>1026</v>
      </c>
      <c r="CK17" s="1188" t="s">
        <v>1027</v>
      </c>
      <c r="CL17" s="2262"/>
      <c r="CM17" s="2254"/>
      <c r="CN17" s="2254"/>
      <c r="CO17" s="2254"/>
      <c r="CP17" s="2254"/>
      <c r="CQ17" s="2254"/>
      <c r="CR17" s="2254"/>
      <c r="CS17" s="2254"/>
      <c r="CT17" s="2254"/>
      <c r="CU17" s="2254"/>
      <c r="CV17" s="2254"/>
      <c r="CW17" s="2254"/>
      <c r="CX17" s="2255"/>
      <c r="CY17" s="1188" t="s">
        <v>1026</v>
      </c>
      <c r="CZ17" s="1188" t="s">
        <v>1027</v>
      </c>
      <c r="DA17" s="1188" t="s">
        <v>1026</v>
      </c>
      <c r="DB17" s="1188" t="s">
        <v>1027</v>
      </c>
      <c r="DC17" s="1188" t="s">
        <v>1026</v>
      </c>
      <c r="DD17" s="1188" t="s">
        <v>1027</v>
      </c>
      <c r="DE17" s="1188" t="s">
        <v>1026</v>
      </c>
      <c r="DF17" s="1188" t="s">
        <v>1027</v>
      </c>
      <c r="DG17" s="1188" t="s">
        <v>1026</v>
      </c>
      <c r="DH17" s="1188" t="s">
        <v>1027</v>
      </c>
      <c r="DI17" s="1188" t="s">
        <v>1026</v>
      </c>
      <c r="DJ17" s="1188" t="s">
        <v>1027</v>
      </c>
      <c r="DK17" s="2262"/>
      <c r="DL17" s="2254"/>
      <c r="DM17" s="2254"/>
      <c r="DN17" s="2254"/>
      <c r="DO17" s="2254"/>
      <c r="DP17" s="2254"/>
      <c r="DQ17" s="2254"/>
      <c r="DR17" s="2254"/>
      <c r="DS17" s="2254"/>
      <c r="DT17" s="2254"/>
      <c r="DU17" s="2254"/>
      <c r="DV17" s="2254"/>
      <c r="DW17" s="2254"/>
      <c r="DX17" s="2254"/>
      <c r="DY17" s="2254"/>
      <c r="DZ17" s="2254"/>
      <c r="EA17" s="2254"/>
      <c r="EB17" s="2254"/>
      <c r="EC17" s="2254"/>
      <c r="ED17" s="2254"/>
      <c r="EE17" s="2254"/>
      <c r="EF17" s="2254"/>
      <c r="EG17" s="2254"/>
      <c r="EH17" s="2254"/>
      <c r="EI17" s="2254"/>
      <c r="EJ17" s="2254"/>
      <c r="EK17" s="2254"/>
      <c r="EL17" s="2254"/>
      <c r="EM17" s="2254"/>
      <c r="EN17" s="2254"/>
      <c r="EO17" s="2254"/>
      <c r="EP17" s="2254"/>
      <c r="EQ17" s="2254"/>
      <c r="ER17" s="2254"/>
      <c r="ES17" s="2254"/>
      <c r="ET17" s="2254"/>
      <c r="EU17" s="2254"/>
      <c r="EV17" s="2254"/>
      <c r="EW17" s="2254"/>
      <c r="EX17" s="2254"/>
      <c r="EY17" s="2254"/>
      <c r="EZ17" s="2254"/>
      <c r="FA17" s="2254"/>
      <c r="FB17" s="2254"/>
      <c r="FC17" s="2254"/>
      <c r="FD17" s="2254"/>
      <c r="FE17" s="2254"/>
      <c r="FF17" s="2254"/>
      <c r="FG17" s="2254"/>
      <c r="FH17" s="2254"/>
      <c r="FI17" s="2254"/>
      <c r="FJ17" s="2254"/>
      <c r="FK17" s="2254"/>
      <c r="FL17" s="2254"/>
      <c r="FM17" s="2254"/>
      <c r="FN17" s="2254"/>
      <c r="FO17" s="2254"/>
      <c r="FP17" s="2254"/>
      <c r="FQ17" s="2254"/>
      <c r="FR17" s="2254"/>
      <c r="FS17" s="2254"/>
      <c r="FT17" s="2254"/>
      <c r="FU17" s="2254"/>
      <c r="FV17" s="2254"/>
      <c r="FW17" s="2261"/>
      <c r="FX17" s="757"/>
    </row>
    <row s="919" customFormat="1" customHeight="1" ht="12" hidden="1">
      <c r="B18" s="917"/>
      <c r="E18" s="933"/>
      <c r="F18" s="1189"/>
      <c r="G18" s="1189"/>
      <c r="H18" s="1189"/>
      <c r="I18" s="1189"/>
      <c r="J18" s="1190"/>
      <c r="K18" s="1190"/>
      <c r="L18" s="1190"/>
      <c r="M18" s="1190"/>
      <c r="N18" s="1190"/>
      <c r="O18" s="1189"/>
      <c r="P18" s="1189"/>
      <c r="Q18" s="1189"/>
      <c r="R18" s="1189"/>
      <c r="S18" s="1189"/>
      <c r="T18" s="1189"/>
      <c r="U18" s="1191"/>
      <c r="V18" s="1191"/>
      <c r="W18" s="1191"/>
      <c r="X18" s="1191"/>
      <c r="Y18" s="1191"/>
      <c r="Z18" s="1191"/>
      <c r="AA18" s="1191"/>
      <c r="AB18" s="1189"/>
      <c r="AC18" s="1190"/>
      <c r="AD18" s="1190"/>
      <c r="AE18" s="1190"/>
      <c r="AF18" s="1190"/>
      <c r="AG18" s="1190"/>
      <c r="AH18" s="1190"/>
      <c r="AI18" s="1190"/>
      <c r="AJ18" s="1190"/>
      <c r="AK18" s="1190"/>
      <c r="AL18" s="1190"/>
      <c r="AM18" s="1190"/>
      <c r="AN18" s="1190"/>
      <c r="AO18" s="1190"/>
      <c r="AP18" s="1190"/>
      <c r="AQ18" s="1190"/>
      <c r="AR18" s="1190"/>
      <c r="AS18" s="1190"/>
      <c r="AT18" s="1190"/>
      <c r="AU18" s="1190"/>
      <c r="AV18" s="1190"/>
      <c r="AW18" s="1190"/>
      <c r="AX18" s="1190"/>
      <c r="AY18" s="1190"/>
      <c r="AZ18" s="1190"/>
      <c r="BA18" s="1190"/>
      <c r="BB18" s="1190"/>
      <c r="BC18" s="1190"/>
      <c r="BD18" s="1190"/>
      <c r="BE18" s="1190"/>
      <c r="BF18" s="1190"/>
      <c r="BG18" s="1190"/>
      <c r="BH18" s="1190"/>
      <c r="BI18" s="1190"/>
      <c r="BJ18" s="1190"/>
      <c r="BK18" s="1190"/>
      <c r="BL18" s="1190"/>
      <c r="BM18" s="1190"/>
      <c r="BN18" s="1190"/>
      <c r="BO18" s="1190"/>
      <c r="BP18" s="1190"/>
      <c r="BQ18" s="1190"/>
      <c r="BR18" s="1190"/>
      <c r="BS18" s="1190"/>
      <c r="BT18" s="1192"/>
      <c r="BU18" s="1192"/>
      <c r="BV18" s="1192"/>
      <c r="BW18" s="1192"/>
      <c r="BX18" s="1192"/>
      <c r="BY18" s="1192"/>
      <c r="BZ18" s="1192"/>
      <c r="CA18" s="1192"/>
      <c r="CB18" s="1192"/>
      <c r="CC18" s="1192"/>
      <c r="CD18" s="1192"/>
      <c r="CE18" s="1192"/>
      <c r="CF18" s="1192"/>
      <c r="CG18" s="1192"/>
      <c r="CH18" s="1192"/>
      <c r="CI18" s="1192"/>
      <c r="CJ18" s="1192"/>
      <c r="CK18" s="1192"/>
      <c r="CL18" s="1190"/>
      <c r="CM18" s="1190"/>
      <c r="CN18" s="1190"/>
      <c r="CO18" s="1190"/>
      <c r="CP18" s="1190"/>
      <c r="CQ18" s="1190"/>
      <c r="CR18" s="1190"/>
      <c r="CS18" s="1190"/>
      <c r="CT18" s="1190"/>
      <c r="CU18" s="1190"/>
      <c r="CV18" s="1190"/>
      <c r="CW18" s="1190"/>
      <c r="CX18" s="1190"/>
      <c r="CY18" s="1192"/>
      <c r="CZ18" s="1192"/>
      <c r="DA18" s="1192"/>
      <c r="DB18" s="1192"/>
      <c r="DC18" s="1192"/>
      <c r="DD18" s="1192"/>
      <c r="DE18" s="1192"/>
      <c r="DF18" s="1192"/>
      <c r="DG18" s="1192"/>
      <c r="DH18" s="1192"/>
      <c r="DI18" s="1192"/>
      <c r="DJ18" s="1192"/>
      <c r="DK18" s="1190"/>
      <c r="DL18" s="1190"/>
      <c r="DM18" s="1190"/>
      <c r="DN18" s="1190"/>
      <c r="DO18" s="1190"/>
      <c r="DP18" s="1190"/>
      <c r="DQ18" s="1190"/>
      <c r="DR18" s="1190"/>
      <c r="DS18" s="1190"/>
      <c r="DT18" s="1190"/>
      <c r="DU18" s="1190"/>
      <c r="DV18" s="1190"/>
      <c r="DW18" s="1190"/>
      <c r="DX18" s="1190"/>
      <c r="DY18" s="1190"/>
      <c r="DZ18" s="1190"/>
      <c r="EA18" s="1190"/>
      <c r="EB18" s="1190"/>
      <c r="EC18" s="1190"/>
      <c r="ED18" s="1190"/>
      <c r="EE18" s="1190"/>
      <c r="EF18" s="1190"/>
      <c r="EG18" s="1190"/>
      <c r="EH18" s="1190"/>
      <c r="EI18" s="1190"/>
      <c r="EJ18" s="1190"/>
      <c r="EK18" s="1190"/>
      <c r="EL18" s="1190"/>
      <c r="EM18" s="1190"/>
      <c r="EN18" s="1190"/>
      <c r="EO18" s="1190"/>
      <c r="EP18" s="1190"/>
      <c r="EQ18" s="1190"/>
      <c r="ER18" s="1190"/>
      <c r="ES18" s="1190"/>
      <c r="ET18" s="1190"/>
      <c r="EU18" s="1190"/>
      <c r="EV18" s="1190"/>
      <c r="EW18" s="1190"/>
      <c r="EX18" s="1190"/>
      <c r="EY18" s="1190"/>
      <c r="EZ18" s="1190"/>
      <c r="FA18" s="1190"/>
      <c r="FB18" s="1190"/>
      <c r="FC18" s="1190"/>
      <c r="FD18" s="1190"/>
      <c r="FE18" s="1190"/>
      <c r="FF18" s="1190"/>
      <c r="FG18" s="1190"/>
      <c r="FH18" s="1190"/>
      <c r="FI18" s="1190"/>
      <c r="FJ18" s="1190"/>
      <c r="FK18" s="1190"/>
      <c r="FL18" s="1190"/>
      <c r="FM18" s="1190"/>
      <c r="FN18" s="1190"/>
      <c r="FO18" s="1190"/>
      <c r="FP18" s="1190"/>
      <c r="FQ18" s="1190"/>
      <c r="FR18" s="1190"/>
      <c r="FS18" s="1190"/>
      <c r="FT18" s="1190"/>
      <c r="FU18" s="1190"/>
      <c r="FV18" s="1190"/>
      <c r="FW18" s="1189"/>
      <c r="FX18" s="1193"/>
    </row>
    <row s="919" customFormat="1" customHeight="1" ht="11.25" hidden="1">
      <c r="B19" s="917"/>
      <c r="E19" s="933"/>
      <c r="F19" s="1189"/>
      <c r="G19" s="1189"/>
      <c r="H19" s="1189"/>
      <c r="I19" s="1189"/>
      <c r="J19" s="1189"/>
      <c r="K19" s="1189"/>
      <c r="L19" s="1189"/>
      <c r="M19" s="1189"/>
      <c r="N19" s="1189"/>
      <c r="O19" s="1189"/>
      <c r="P19" s="1189"/>
      <c r="Q19" s="1189"/>
      <c r="R19" s="1189"/>
      <c r="S19" s="1189"/>
      <c r="T19" s="1189"/>
      <c r="U19" s="1191"/>
      <c r="V19" s="1191"/>
      <c r="W19" s="1191"/>
      <c r="X19" s="1191"/>
      <c r="Y19" s="1191"/>
      <c r="Z19" s="1191"/>
      <c r="AA19" s="1191"/>
      <c r="AB19" s="1189"/>
      <c r="AC19" s="1189"/>
      <c r="AD19" s="1189"/>
      <c r="AE19" s="1189"/>
      <c r="AF19" s="1189"/>
      <c r="AG19" s="1189"/>
      <c r="AH19" s="1189"/>
      <c r="AI19" s="1189"/>
      <c r="AJ19" s="1189"/>
      <c r="AK19" s="1189"/>
      <c r="AL19" s="1189"/>
      <c r="AM19" s="1189"/>
      <c r="AN19" s="1189"/>
      <c r="AO19" s="1189"/>
      <c r="AP19" s="1189"/>
      <c r="AQ19" s="1189"/>
      <c r="AR19" s="1189"/>
      <c r="AS19" s="1189"/>
      <c r="AT19" s="1189"/>
      <c r="AU19" s="1189"/>
      <c r="AV19" s="1189"/>
      <c r="AW19" s="1189"/>
      <c r="AX19" s="1189"/>
      <c r="AY19" s="1189"/>
      <c r="AZ19" s="1189"/>
      <c r="BA19" s="1189"/>
      <c r="BB19" s="1189"/>
      <c r="BC19" s="1189"/>
      <c r="BD19" s="1189"/>
      <c r="BE19" s="1189"/>
      <c r="BF19" s="1189"/>
      <c r="BG19" s="1189"/>
      <c r="BH19" s="1189"/>
      <c r="BI19" s="1189"/>
      <c r="BJ19" s="1189"/>
      <c r="BK19" s="1189"/>
      <c r="BL19" s="1189"/>
      <c r="BM19" s="1189"/>
      <c r="BN19" s="1189"/>
      <c r="BO19" s="1189"/>
      <c r="BP19" s="1189"/>
      <c r="BQ19" s="1189"/>
      <c r="BR19" s="1189"/>
      <c r="BS19" s="1189"/>
      <c r="BT19" s="1189"/>
      <c r="BU19" s="1189"/>
      <c r="BV19" s="1189"/>
      <c r="BW19" s="1189"/>
      <c r="BX19" s="1189"/>
      <c r="BY19" s="1189"/>
      <c r="BZ19" s="1189"/>
      <c r="CA19" s="1189"/>
      <c r="CB19" s="1189"/>
      <c r="CC19" s="1189"/>
      <c r="CD19" s="1189"/>
      <c r="CE19" s="1189"/>
      <c r="CF19" s="1189"/>
      <c r="CG19" s="1189"/>
      <c r="CH19" s="1189"/>
      <c r="CI19" s="1189"/>
      <c r="CJ19" s="1189"/>
      <c r="CK19" s="1189"/>
      <c r="CL19" s="1189"/>
      <c r="CM19" s="1189"/>
      <c r="CN19" s="1189"/>
      <c r="CO19" s="1189"/>
      <c r="CP19" s="1189"/>
      <c r="CQ19" s="1189"/>
      <c r="CR19" s="1189"/>
      <c r="CS19" s="1189"/>
      <c r="CT19" s="1189"/>
      <c r="CU19" s="1189"/>
      <c r="CV19" s="1189"/>
      <c r="CW19" s="1189"/>
      <c r="CX19" s="1189"/>
      <c r="CY19" s="1189"/>
      <c r="CZ19" s="1189"/>
      <c r="DA19" s="1189"/>
      <c r="DB19" s="1189"/>
      <c r="DC19" s="1189"/>
      <c r="DD19" s="1189"/>
      <c r="DE19" s="1189"/>
      <c r="DF19" s="1189"/>
      <c r="DG19" s="1189"/>
      <c r="DH19" s="1189"/>
      <c r="DI19" s="1189"/>
      <c r="DJ19" s="1189"/>
      <c r="DK19" s="1189"/>
      <c r="DL19" s="1189"/>
      <c r="DM19" s="1189"/>
      <c r="DN19" s="1189"/>
      <c r="DO19" s="1189"/>
      <c r="DP19" s="1189"/>
      <c r="DQ19" s="1189"/>
      <c r="DR19" s="1189"/>
      <c r="DS19" s="1189"/>
      <c r="DT19" s="1189"/>
      <c r="DU19" s="1189"/>
      <c r="DV19" s="1189"/>
      <c r="DW19" s="1189"/>
      <c r="DX19" s="1189"/>
      <c r="DY19" s="1189"/>
      <c r="DZ19" s="1189"/>
      <c r="EA19" s="1189"/>
      <c r="EB19" s="1189"/>
      <c r="EC19" s="1189"/>
      <c r="ED19" s="1189"/>
      <c r="EE19" s="1189"/>
      <c r="EF19" s="1189"/>
      <c r="EG19" s="1189"/>
      <c r="EH19" s="1189"/>
      <c r="EI19" s="1189"/>
      <c r="EJ19" s="1189"/>
      <c r="EK19" s="1189"/>
      <c r="EL19" s="1189"/>
      <c r="EM19" s="1189"/>
      <c r="EN19" s="1189"/>
      <c r="EO19" s="1189"/>
      <c r="EP19" s="1189"/>
      <c r="EQ19" s="1189"/>
      <c r="ER19" s="1189"/>
      <c r="ES19" s="1189"/>
      <c r="ET19" s="1189"/>
      <c r="EU19" s="1189"/>
      <c r="EV19" s="1189"/>
      <c r="EW19" s="1189"/>
      <c r="EX19" s="1189"/>
      <c r="EY19" s="1189"/>
      <c r="EZ19" s="1189"/>
      <c r="FA19" s="1189"/>
      <c r="FB19" s="1189"/>
      <c r="FC19" s="1189"/>
      <c r="FD19" s="1189"/>
      <c r="FE19" s="1189"/>
      <c r="FF19" s="1189"/>
      <c r="FG19" s="1189"/>
      <c r="FH19" s="1189"/>
      <c r="FI19" s="1189"/>
      <c r="FJ19" s="1189"/>
      <c r="FK19" s="1189"/>
      <c r="FL19" s="1189"/>
      <c r="FM19" s="1189"/>
      <c r="FN19" s="1189"/>
      <c r="FO19" s="1189"/>
      <c r="FP19" s="1189"/>
      <c r="FQ19" s="1189"/>
      <c r="FR19" s="1189"/>
      <c r="FS19" s="1189"/>
      <c r="FT19" s="1189"/>
      <c r="FU19" s="1189"/>
      <c r="FV19" s="1189"/>
      <c r="FW19" s="1189"/>
      <c r="FX19" s="1193"/>
    </row>
    <row s="919" customFormat="1" customHeight="1" ht="11.25" hidden="1">
      <c r="B20" s="934"/>
      <c r="D20" s="918"/>
      <c r="E20" s="933"/>
      <c r="F20" s="1194" t="s">
        <v>383</v>
      </c>
      <c r="G20" s="1195"/>
      <c r="H20" s="1196"/>
      <c r="I20" s="1196"/>
      <c r="J20" s="1196"/>
      <c r="K20" s="1196"/>
      <c r="L20" s="1196"/>
      <c r="M20" s="1196"/>
      <c r="N20" s="1196"/>
      <c r="O20" s="1195"/>
      <c r="P20" s="1195"/>
      <c r="Q20" s="1195"/>
      <c r="R20" s="1195"/>
      <c r="S20" s="1195"/>
      <c r="T20" s="1195"/>
      <c r="U20" s="1197"/>
      <c r="V20" s="1197"/>
      <c r="W20" s="1197"/>
      <c r="X20" s="1197"/>
      <c r="Y20" s="1197"/>
      <c r="Z20" s="1197"/>
      <c r="AA20" s="1197"/>
      <c r="AB20" s="1195"/>
      <c r="AC20" s="1196"/>
      <c r="AD20" s="1196"/>
      <c r="AE20" s="1196"/>
      <c r="AF20" s="1196"/>
      <c r="AG20" s="1196"/>
      <c r="AH20" s="1196"/>
      <c r="AI20" s="1196"/>
      <c r="AJ20" s="1196"/>
      <c r="AK20" s="1196"/>
      <c r="AL20" s="1196"/>
      <c r="AM20" s="1196"/>
      <c r="AN20" s="1196"/>
      <c r="AO20" s="1196"/>
      <c r="AP20" s="1196"/>
      <c r="AQ20" s="1196"/>
      <c r="AR20" s="1196"/>
      <c r="AS20" s="1196"/>
      <c r="AT20" s="1196"/>
      <c r="AU20" s="1196"/>
      <c r="AV20" s="1196"/>
      <c r="AW20" s="1196"/>
      <c r="AX20" s="1196"/>
      <c r="AY20" s="1196"/>
      <c r="AZ20" s="1196"/>
      <c r="BA20" s="1196"/>
      <c r="BB20" s="1196"/>
      <c r="BC20" s="1196"/>
      <c r="BD20" s="1196"/>
      <c r="BE20" s="1196"/>
      <c r="BF20" s="1196"/>
      <c r="BG20" s="1196"/>
      <c r="BH20" s="1196"/>
      <c r="BI20" s="1196"/>
      <c r="BJ20" s="1196"/>
      <c r="BK20" s="1196"/>
      <c r="BL20" s="1196"/>
      <c r="BM20" s="1196"/>
      <c r="BN20" s="1196"/>
      <c r="BO20" s="1196"/>
      <c r="BP20" s="1196"/>
      <c r="BQ20" s="1196"/>
      <c r="BR20" s="1196"/>
      <c r="BS20" s="1196"/>
      <c r="BT20" s="1196"/>
      <c r="BU20" s="1196"/>
      <c r="BV20" s="1196"/>
      <c r="BW20" s="1196"/>
      <c r="BX20" s="1196"/>
      <c r="BY20" s="1196"/>
      <c r="BZ20" s="1196"/>
      <c r="CA20" s="1196"/>
      <c r="CB20" s="1196"/>
      <c r="CC20" s="1196"/>
      <c r="CD20" s="1196"/>
      <c r="CE20" s="1196"/>
      <c r="CF20" s="1196"/>
      <c r="CG20" s="1196"/>
      <c r="CH20" s="1196"/>
      <c r="CI20" s="1196"/>
      <c r="CJ20" s="1196"/>
      <c r="CK20" s="1196"/>
      <c r="CL20" s="1198"/>
      <c r="CM20" s="1198"/>
      <c r="CN20" s="1198"/>
      <c r="CO20" s="1198"/>
      <c r="CP20" s="1198"/>
      <c r="CQ20" s="1198"/>
      <c r="CR20" s="1198"/>
      <c r="CS20" s="1198"/>
      <c r="CT20" s="1198"/>
      <c r="CU20" s="1198"/>
      <c r="CV20" s="1198"/>
      <c r="CW20" s="1198"/>
      <c r="CX20" s="1198"/>
      <c r="CY20" s="1198"/>
      <c r="CZ20" s="1198"/>
      <c r="DA20" s="1198"/>
      <c r="DB20" s="1198"/>
      <c r="DC20" s="1198"/>
      <c r="DD20" s="1198"/>
      <c r="DE20" s="1198"/>
      <c r="DF20" s="1198"/>
      <c r="DG20" s="1198"/>
      <c r="DH20" s="1198"/>
      <c r="DI20" s="1198"/>
      <c r="DJ20" s="1198"/>
      <c r="DK20" s="1198"/>
      <c r="DL20" s="1198"/>
      <c r="DM20" s="1198"/>
      <c r="DN20" s="1198"/>
      <c r="DO20" s="1198"/>
      <c r="DP20" s="1198"/>
      <c r="DQ20" s="1198"/>
      <c r="DR20" s="1198"/>
      <c r="DS20" s="1198"/>
      <c r="DT20" s="1198"/>
      <c r="DU20" s="1198"/>
      <c r="DV20" s="1198"/>
      <c r="DW20" s="1198"/>
      <c r="DX20" s="1198"/>
      <c r="DY20" s="1198"/>
      <c r="DZ20" s="1198"/>
      <c r="EA20" s="1198"/>
      <c r="EB20" s="1198"/>
      <c r="EC20" s="1198"/>
      <c r="ED20" s="1198"/>
      <c r="EE20" s="1198"/>
      <c r="EF20" s="1198"/>
      <c r="EG20" s="1198"/>
      <c r="EH20" s="1198"/>
      <c r="EI20" s="1198"/>
      <c r="EJ20" s="1198"/>
      <c r="EK20" s="1198"/>
      <c r="EL20" s="1198"/>
      <c r="EM20" s="1198"/>
      <c r="EN20" s="1198"/>
      <c r="EO20" s="1198"/>
      <c r="EP20" s="1198"/>
      <c r="EQ20" s="1198"/>
      <c r="ER20" s="1198"/>
      <c r="ES20" s="1198"/>
      <c r="ET20" s="1198"/>
      <c r="EU20" s="1198"/>
      <c r="EV20" s="1198"/>
      <c r="EW20" s="1198"/>
      <c r="EX20" s="1198"/>
      <c r="EY20" s="1198"/>
      <c r="EZ20" s="1198"/>
      <c r="FA20" s="1198"/>
      <c r="FB20" s="1198"/>
      <c r="FC20" s="1198"/>
      <c r="FD20" s="1198"/>
      <c r="FE20" s="1198"/>
      <c r="FF20" s="1198"/>
      <c r="FG20" s="1198"/>
      <c r="FH20" s="1198"/>
      <c r="FI20" s="1198"/>
      <c r="FJ20" s="1198"/>
      <c r="FK20" s="1198"/>
      <c r="FL20" s="1198"/>
      <c r="FM20" s="1198"/>
      <c r="FN20" s="1198"/>
      <c r="FO20" s="1198"/>
      <c r="FP20" s="1198"/>
      <c r="FQ20" s="1198"/>
      <c r="FR20" s="1198"/>
      <c r="FS20" s="1198"/>
      <c r="FT20" s="1198"/>
      <c r="FU20" s="1198"/>
      <c r="FV20" s="1198"/>
      <c r="FW20" s="1198"/>
      <c r="FX20" s="1199"/>
    </row>
    <row s="919" customFormat="1" customHeight="1" ht="12">
      <c r="A21" s="935"/>
      <c r="B21" s="935"/>
      <c r="C21" s="935"/>
      <c r="D21" s="935"/>
      <c r="E21" s="935"/>
      <c r="F21" s="933"/>
      <c r="G21" s="933"/>
      <c r="H21" s="933"/>
      <c r="I21" s="933"/>
      <c r="J21" s="933"/>
      <c r="K21" s="933"/>
      <c r="L21" s="933"/>
      <c r="M21" s="933"/>
      <c r="N21" s="933"/>
      <c r="O21" s="933"/>
      <c r="P21" s="933"/>
      <c r="Q21" s="933"/>
      <c r="R21" s="933"/>
      <c r="S21" s="936"/>
      <c r="T21" s="936"/>
      <c r="U21" s="933"/>
      <c r="V21" s="933"/>
      <c r="W21" s="933"/>
      <c r="X21" s="933"/>
      <c r="Y21" s="933"/>
      <c r="Z21" s="933"/>
      <c r="AA21" s="933"/>
      <c r="AB21" s="933"/>
      <c r="AC21" s="933"/>
      <c r="AD21" s="933"/>
      <c r="AE21" s="933"/>
      <c r="AF21" s="933"/>
      <c r="AG21" s="933"/>
      <c r="AH21" s="933"/>
      <c r="AI21" s="933"/>
      <c r="AJ21" s="933"/>
      <c r="AK21" s="933"/>
      <c r="AL21" s="933"/>
      <c r="AM21" s="933"/>
      <c r="AN21" s="933"/>
      <c r="AO21" s="933"/>
      <c r="AP21" s="933"/>
      <c r="AQ21" s="933"/>
      <c r="AR21" s="933"/>
      <c r="AS21" s="933"/>
      <c r="AT21" s="933"/>
      <c r="AU21" s="933"/>
      <c r="AV21" s="933"/>
      <c r="AW21" s="933"/>
      <c r="AX21" s="933"/>
      <c r="AY21" s="933"/>
      <c r="AZ21" s="933"/>
      <c r="BA21" s="933"/>
      <c r="BB21" s="933"/>
      <c r="BC21" s="933"/>
      <c r="BD21" s="933"/>
      <c r="BE21" s="933"/>
      <c r="BF21" s="933"/>
      <c r="BG21" s="933"/>
      <c r="BH21" s="933"/>
      <c r="BI21" s="933"/>
      <c r="BJ21" s="933"/>
      <c r="BK21" s="933"/>
      <c r="BL21" s="933"/>
      <c r="BM21" s="933"/>
      <c r="BN21" s="933"/>
      <c r="BO21" s="933"/>
      <c r="BP21" s="933"/>
      <c r="BQ21" s="933"/>
      <c r="BR21" s="933"/>
      <c r="BS21" s="933"/>
      <c r="BT21" s="933"/>
      <c r="BU21" s="933"/>
      <c r="BV21" s="933"/>
      <c r="BW21" s="933"/>
      <c r="BX21" s="933"/>
      <c r="BY21" s="933"/>
      <c r="BZ21" s="933"/>
      <c r="CA21" s="933"/>
      <c r="CB21" s="933"/>
      <c r="CC21" s="933"/>
      <c r="CD21" s="933"/>
      <c r="CE21" s="933"/>
      <c r="CF21" s="933"/>
      <c r="CG21" s="933"/>
      <c r="CH21" s="933"/>
      <c r="CI21" s="933"/>
      <c r="CJ21" s="933"/>
      <c r="CK21" s="933"/>
      <c r="CL21" s="933"/>
      <c r="CM21" s="933"/>
      <c r="CN21" s="933"/>
      <c r="CO21" s="933"/>
      <c r="CP21" s="933"/>
      <c r="CQ21" s="933"/>
      <c r="CR21" s="933"/>
      <c r="CS21" s="933"/>
      <c r="CT21" s="933"/>
      <c r="CU21" s="933"/>
      <c r="CV21" s="933"/>
      <c r="CW21" s="933"/>
      <c r="CX21" s="933"/>
      <c r="CY21" s="933"/>
      <c r="CZ21" s="933"/>
      <c r="DA21" s="933"/>
      <c r="DB21" s="933"/>
      <c r="DC21" s="933"/>
      <c r="DD21" s="933"/>
      <c r="DE21" s="933"/>
      <c r="DF21" s="933"/>
      <c r="DG21" s="933"/>
      <c r="DH21" s="933"/>
      <c r="DI21" s="933"/>
      <c r="DJ21" s="933"/>
      <c r="DK21" s="933"/>
      <c r="DL21" s="933"/>
      <c r="DM21" s="933"/>
      <c r="DN21" s="933"/>
      <c r="DO21" s="933"/>
      <c r="DP21" s="933"/>
      <c r="DQ21" s="933"/>
      <c r="DR21" s="933"/>
      <c r="DS21" s="933"/>
      <c r="DT21" s="933"/>
      <c r="DU21" s="933"/>
      <c r="DV21" s="933"/>
      <c r="DW21" s="933"/>
      <c r="DX21" s="933"/>
      <c r="DY21" s="933"/>
      <c r="DZ21" s="933"/>
      <c r="EA21" s="933"/>
      <c r="EB21" s="933"/>
      <c r="EC21" s="933"/>
      <c r="ED21" s="933"/>
      <c r="EE21" s="933"/>
      <c r="EF21" s="933"/>
      <c r="EG21" s="933"/>
      <c r="EH21" s="933"/>
      <c r="EI21" s="933"/>
      <c r="EJ21" s="933"/>
      <c r="EK21" s="933"/>
      <c r="EL21" s="933"/>
      <c r="EM21" s="933"/>
      <c r="EN21" s="933"/>
      <c r="EO21" s="933"/>
      <c r="EP21" s="933"/>
      <c r="EQ21" s="933"/>
      <c r="ER21" s="933"/>
      <c r="ES21" s="933"/>
      <c r="ET21" s="933"/>
      <c r="EU21" s="933"/>
      <c r="EV21" s="933"/>
      <c r="EW21" s="933"/>
      <c r="EX21" s="933"/>
      <c r="EY21" s="933"/>
      <c r="EZ21" s="933"/>
      <c r="FA21" s="933"/>
      <c r="FB21" s="933"/>
      <c r="FC21" s="933"/>
      <c r="FD21" s="933"/>
      <c r="FE21" s="933"/>
      <c r="FF21" s="933"/>
      <c r="FG21" s="933"/>
      <c r="FH21" s="933"/>
      <c r="FI21" s="933"/>
      <c r="FJ21" s="933"/>
      <c r="FK21" s="933"/>
      <c r="FL21" s="933"/>
      <c r="FM21" s="933"/>
      <c r="FN21" s="933"/>
      <c r="FO21" s="933"/>
      <c r="FP21" s="933"/>
      <c r="FQ21" s="933"/>
      <c r="FR21" s="933"/>
      <c r="FS21" s="933"/>
      <c r="FT21" s="933"/>
      <c r="FU21" s="933"/>
      <c r="FV21" s="933"/>
      <c r="FW21" s="933"/>
      <c r="FX21" s="935"/>
      <c r="FY21" s="935"/>
      <c r="FZ21" s="935"/>
      <c r="GA21" s="935"/>
      <c r="GB21" s="935"/>
    </row>
    <row s="919" customFormat="1" customHeight="1" ht="12">
      <c r="A22" s="935"/>
      <c r="B22" s="935"/>
      <c r="C22" s="935"/>
      <c r="D22" s="935"/>
      <c r="E22" s="935"/>
      <c r="FX22" s="935"/>
      <c r="FY22" s="935"/>
      <c r="FZ22" s="935"/>
      <c r="GA22" s="935"/>
      <c r="GB22" s="935"/>
    </row>
    <row s="1058" customFormat="1" customHeight="1" ht="12">
      <c r="A23" s="1057"/>
      <c r="B23" s="1057"/>
      <c r="C23" s="1057"/>
      <c r="D23" s="1057"/>
      <c r="E23" s="1057"/>
      <c r="O23" s="1059"/>
      <c r="P23" s="1059"/>
      <c r="Q23" s="1059"/>
      <c r="R23" s="1059"/>
      <c r="S23" s="1059"/>
      <c r="T23" s="1059"/>
      <c r="U23" s="1059"/>
      <c r="V23" s="1059"/>
      <c r="W23" s="1059"/>
      <c r="X23" s="1059"/>
      <c r="Y23" s="1059"/>
      <c r="Z23" s="1059"/>
      <c r="AA23" s="1059"/>
      <c r="AB23" s="1059"/>
      <c r="AC23" s="1059"/>
      <c r="AD23" s="1059"/>
      <c r="AE23" s="1059"/>
      <c r="AF23" s="1059"/>
      <c r="AG23" s="1059"/>
      <c r="AH23" s="1059"/>
      <c r="AI23" s="1059"/>
      <c r="AJ23" s="1059"/>
      <c r="AK23" s="1059"/>
      <c r="AL23" s="1059"/>
      <c r="AM23" s="1059"/>
      <c r="AN23" s="1059"/>
      <c r="AO23" s="1059"/>
      <c r="AP23" s="1059"/>
      <c r="AQ23" s="1059"/>
      <c r="AR23" s="1059"/>
      <c r="AS23" s="1059"/>
      <c r="AT23" s="1059"/>
      <c r="AU23" s="1059"/>
      <c r="AV23" s="1059"/>
      <c r="AW23" s="1059"/>
      <c r="AX23" s="1059"/>
      <c r="AY23" s="1059"/>
      <c r="AZ23" s="1059"/>
      <c r="BA23" s="1059"/>
      <c r="BB23" s="1059"/>
      <c r="BC23" s="1059"/>
      <c r="BD23" s="1059"/>
      <c r="BE23" s="1059"/>
      <c r="BF23" s="1059"/>
      <c r="BG23" s="1059"/>
      <c r="BH23" s="1059"/>
      <c r="BI23" s="1059"/>
      <c r="BJ23" s="1059"/>
      <c r="BK23" s="1059"/>
      <c r="BL23" s="1059"/>
      <c r="BM23" s="1059"/>
      <c r="BN23" s="1059"/>
      <c r="BO23" s="1059"/>
      <c r="BP23" s="1059"/>
      <c r="BQ23" s="1059"/>
      <c r="BR23" s="1059"/>
      <c r="BS23" s="1059"/>
      <c r="BT23" s="1060"/>
      <c r="BU23" s="1060"/>
      <c r="BV23" s="1060"/>
      <c r="BW23" s="1060"/>
      <c r="BX23" s="1060"/>
      <c r="BY23" s="1060"/>
      <c r="BZ23" s="1060"/>
      <c r="CA23" s="1060"/>
      <c r="CB23" s="1060"/>
      <c r="CC23" s="1060"/>
      <c r="CD23" s="1060"/>
      <c r="CE23" s="1060"/>
      <c r="CF23" s="1060"/>
      <c r="CG23" s="1060"/>
      <c r="CH23" s="1060"/>
      <c r="CI23" s="1060"/>
      <c r="CJ23" s="1060"/>
      <c r="CK23" s="1060"/>
      <c r="CL23" s="1060"/>
      <c r="CM23" s="1060"/>
      <c r="CN23" s="1060"/>
      <c r="CO23" s="1060"/>
      <c r="CP23" s="1060"/>
      <c r="CQ23" s="1060"/>
      <c r="CR23" s="1060"/>
      <c r="CS23" s="1060"/>
      <c r="CT23" s="1060"/>
      <c r="CU23" s="1060"/>
      <c r="CV23" s="1060"/>
      <c r="CW23" s="1060"/>
      <c r="CX23" s="1060"/>
      <c r="CY23" s="1060"/>
      <c r="CZ23" s="1060"/>
      <c r="DA23" s="1060"/>
      <c r="DB23" s="1060"/>
      <c r="DC23" s="1060"/>
      <c r="DD23" s="1060"/>
      <c r="DE23" s="1060"/>
      <c r="DF23" s="1060"/>
      <c r="DG23" s="1060"/>
      <c r="DH23" s="1060"/>
      <c r="DI23" s="1060"/>
      <c r="DJ23" s="1060"/>
      <c r="DK23" s="1060"/>
      <c r="DL23" s="1060"/>
      <c r="DM23" s="1060"/>
      <c r="DN23" s="1060"/>
      <c r="DO23" s="1060"/>
      <c r="DP23" s="1060"/>
      <c r="DQ23" s="1060"/>
      <c r="DR23" s="1060"/>
      <c r="DS23" s="1060"/>
      <c r="DT23" s="1060"/>
      <c r="DU23" s="1060"/>
      <c r="DV23" s="1060"/>
      <c r="DW23" s="1060"/>
      <c r="DX23" s="1060"/>
      <c r="FX23" s="1057"/>
      <c r="FY23" s="1057"/>
      <c r="FZ23" s="1057"/>
      <c r="GA23" s="1057"/>
      <c r="GB23" s="1057"/>
    </row>
    <row customHeight="1" ht="12">
      <c r="S24" s="932"/>
      <c r="T24" s="932"/>
      <c r="U24" s="932"/>
      <c r="V24" s="932"/>
      <c r="W24" s="932"/>
      <c r="X24" s="932"/>
      <c r="Y24" s="932"/>
      <c r="Z24" s="932"/>
      <c r="AA24" s="932"/>
      <c r="AB24" s="932"/>
      <c r="FX24" s="932"/>
      <c r="FY24" s="932"/>
      <c r="FZ24" s="932"/>
      <c r="GA24" s="932"/>
      <c r="GB24" s="932"/>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3DB726-4E0C-361D-5712-DBC07CBCB5DA}" mc:Ignorable="x14ac xr xr2 xr3">
  <sheetPr>
    <tabColor theme="2" tint="-0.1"/>
  </sheetPr>
  <dimension ref="A1:R22"/>
  <sheetViews>
    <sheetView topLeftCell="C4" showGridLines="0" zoomScale="90" workbookViewId="0">
      <selection activeCell="A1" sqref="A1"/>
    </sheetView>
  </sheetViews>
  <sheetFormatPr defaultColWidth="10.57421875" customHeight="1" defaultRowHeight="15"/>
  <cols>
    <col min="1" max="1" style="1657" width="9.140625" hidden="1" customWidth="1"/>
    <col min="2" max="2" style="1660" width="9.140625" hidden="1" customWidth="1"/>
    <col min="3" max="3" style="678" width="4.7109375" customWidth="1"/>
    <col min="4" max="4" style="1660" width="6.28125" customWidth="1"/>
    <col min="5" max="5" style="1660" width="36.7109375" customWidth="1"/>
    <col min="6" max="6" style="1660" width="9.57421875" customWidth="1"/>
    <col min="7" max="7" style="1660" width="42.421875" hidden="1" customWidth="1"/>
    <col min="8" max="8" style="1660" width="40.7109375" customWidth="1"/>
    <col min="9" max="9" style="1383" width="93.421875" customWidth="1"/>
    <col min="10" max="17" style="1660" width="10.57421875"/>
    <col min="18" max="18" style="670" width="10.57421875"/>
  </cols>
  <sheetData>
    <row s="1383" customFormat="1" customHeight="1" ht="15" hidden="1">
      <c r="C1" s="667"/>
      <c r="H1" s="414">
        <v>4</v>
      </c>
      <c r="R1" s="417"/>
    </row>
    <row customHeight="1" ht="22.5" hidden="1">
      <c r="D2" s="535"/>
      <c r="E2" s="658"/>
      <c r="F2" s="1785" t="str">
        <f>IF(TEMPLATE_SPHERE="HEAT","Гкал/час","тыс. куб. м/сутки")</f>
        <v>Гкал/час</v>
      </c>
      <c r="G2" s="675"/>
      <c r="H2" s="675"/>
      <c r="I2" s="270"/>
    </row>
    <row s="1383" customFormat="1" customHeight="1" ht="15" hidden="1">
      <c r="C3" s="667"/>
      <c r="R3" s="417"/>
    </row>
    <row customHeight="1" ht="15">
      <c r="C4" s="156"/>
      <c r="D4" s="505"/>
      <c r="E4" s="505"/>
      <c r="F4" s="505"/>
      <c r="G4" s="505"/>
      <c r="H4" s="505"/>
    </row>
    <row customHeight="1" ht="37.5">
      <c r="C5" s="156"/>
      <c r="D5" s="206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067"/>
      <c r="F5" s="2067"/>
      <c r="G5" s="2067"/>
      <c r="H5" s="2067"/>
      <c r="I5" s="533"/>
    </row>
    <row customHeight="1" ht="15">
      <c r="C6" s="156"/>
      <c r="D6" s="2035" t="str">
        <f>IF(org=0,"Не определено",org)</f>
        <v>ООО "ПРОМ ИМПУЛЬС"</v>
      </c>
      <c r="E6" s="2035"/>
      <c r="F6" s="2035"/>
      <c r="G6" s="2035"/>
      <c r="H6" s="2035"/>
      <c r="I6" s="533"/>
    </row>
    <row s="1660" customFormat="1" customHeight="1" ht="15">
      <c r="A7" s="754"/>
      <c r="C7" s="156"/>
      <c r="D7" s="671"/>
      <c r="E7" s="671"/>
      <c r="F7" s="671"/>
      <c r="G7" s="671"/>
      <c r="H7" s="747"/>
      <c r="I7" s="533"/>
      <c r="R7" s="670"/>
    </row>
    <row customHeight="1" ht="0.75">
      <c r="C8" s="156"/>
      <c r="D8" s="505"/>
      <c r="E8" s="505"/>
      <c r="F8" s="505"/>
      <c r="G8" s="505"/>
      <c r="H8" s="533" t="s">
        <v>116</v>
      </c>
    </row>
    <row customHeight="1" ht="15">
      <c r="C9" s="156"/>
      <c r="D9" s="706"/>
      <c r="E9" s="2195" t="s">
        <v>104</v>
      </c>
      <c r="F9" s="2196"/>
      <c r="G9" s="810" t="str">
        <f>IF(G8="","",INDEX(DIFFERENTIATION_UNMERGE_VD,MATCH(G8,DIFFERENTIATION_ID_DIFF,0)))</f>
        <v/>
      </c>
      <c r="H9" s="810">
        <f>IF(H8="","",INDEX(DIFFERENTIATION_UNMERGE_VD,MATCH(H8,DIFFERENTIATION_ID_DIFF,0)))</f>
        <v>0</v>
      </c>
      <c r="I9" s="1953" t="s">
        <v>306</v>
      </c>
    </row>
    <row s="1660" customFormat="1" customHeight="1" ht="15">
      <c r="A10" s="754"/>
      <c r="C10" s="156"/>
      <c r="D10" s="706"/>
      <c r="E10" s="2195" t="s">
        <v>563</v>
      </c>
      <c r="F10" s="2196"/>
      <c r="G10" s="810" t="str">
        <f>IF(G8="","",INDEX(DIFFERENTIATION_UNMERGE_AREA,MATCH(G8,DIFFERENTIATION_ID_DIFF,0)))</f>
        <v/>
      </c>
      <c r="H10" s="810" t="str">
        <f>IF(H8="","",INDEX(DIFFERENTIATION_UNMERGE_AREA,MATCH(H8,DIFFERENTIATION_ID_DIFF,0)))</f>
        <v/>
      </c>
      <c r="I10" s="1953"/>
      <c r="R10" s="670"/>
    </row>
    <row s="1660" customFormat="1" customHeight="1" ht="15">
      <c r="A11" s="754"/>
      <c r="C11" s="156"/>
      <c r="D11" s="706"/>
      <c r="E11" s="2195" t="s">
        <v>564</v>
      </c>
      <c r="F11" s="2196"/>
      <c r="G11" s="810" t="str">
        <f>IF(G8="","",INDEX(DIFFERENTIATION_UNMERGE_SYSTEM,MATCH(G8,DIFFERENTIATION_ID_DIFF,0)))</f>
        <v/>
      </c>
      <c r="H11" s="810" t="str">
        <f>IF(H8="","",INDEX(DIFFERENTIATION_UNMERGE_SYSTEM,MATCH(H8,DIFFERENTIATION_ID_DIFF,0)))</f>
        <v>без дифференциации</v>
      </c>
      <c r="I11" s="1953"/>
      <c r="R11" s="670"/>
    </row>
    <row s="1660" customFormat="1" customHeight="1" ht="15">
      <c r="A12" s="754"/>
      <c r="C12" s="156"/>
      <c r="D12" s="2197" t="s">
        <v>305</v>
      </c>
      <c r="E12" s="2198"/>
      <c r="F12" s="2198"/>
      <c r="G12" s="881"/>
      <c r="H12" s="881"/>
      <c r="I12" s="1953"/>
      <c r="R12" s="670"/>
    </row>
    <row customHeight="1" ht="33.75">
      <c r="C13" s="156"/>
      <c r="D13" s="756" t="s">
        <v>87</v>
      </c>
      <c r="E13" s="755" t="s">
        <v>307</v>
      </c>
      <c r="F13" s="755" t="s">
        <v>565</v>
      </c>
      <c r="G13" s="802" t="s">
        <v>308</v>
      </c>
      <c r="H13" s="749" t="s">
        <v>308</v>
      </c>
      <c r="I13" s="1953"/>
    </row>
    <row customHeight="1" ht="15" hidden="1">
      <c r="C14" s="156"/>
      <c r="D14" s="589" t="s">
        <v>108</v>
      </c>
      <c r="E14" s="589" t="s">
        <v>109</v>
      </c>
      <c r="F14" s="589" t="s">
        <v>89</v>
      </c>
      <c r="G14" s="654" t="str">
        <f>G1&amp;".1"</f>
        <v>.1</v>
      </c>
      <c r="H14" s="654" t="str">
        <f>H1&amp;".1"</f>
        <v>4.1</v>
      </c>
      <c r="I14" s="270"/>
    </row>
    <row customHeight="1" ht="15">
      <c r="A15" s="501"/>
      <c r="C15" s="522"/>
      <c r="D15" s="517">
        <v>1</v>
      </c>
      <c r="E15" s="672" t="str">
        <f>TP_P_A</f>
        <v>Количество поданных заявок</v>
      </c>
      <c r="F15" s="517" t="s">
        <v>1028</v>
      </c>
      <c r="G15" s="680"/>
      <c r="H15" s="680"/>
      <c r="I15" s="187"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501"/>
      <c r="C16" s="522"/>
      <c r="D16" s="517">
        <v>2</v>
      </c>
      <c r="E16" s="260" t="str">
        <f>TP_P_B</f>
        <v>Количество рассмотренных заявок</v>
      </c>
      <c r="F16" s="517" t="s">
        <v>1028</v>
      </c>
      <c r="G16" s="680"/>
      <c r="H16" s="680"/>
      <c r="I16" s="187"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501"/>
      <c r="C17" s="522"/>
      <c r="D17" s="517">
        <v>3</v>
      </c>
      <c r="E17" s="26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17" t="s">
        <v>1028</v>
      </c>
      <c r="G17" s="680"/>
      <c r="H17" s="680"/>
      <c r="I17" s="187" t="str">
        <f>TP_P_NOTE_V</f>
        <v>Указывается количество заявок с решением об отказе в течение отчетного квартала.</v>
      </c>
    </row>
    <row customHeight="1" ht="36">
      <c r="A18" s="501"/>
      <c r="C18" s="522"/>
      <c r="D18" s="517">
        <v>4</v>
      </c>
      <c r="E18" s="260" t="str">
        <f>TP_P_V_1</f>
        <v>Причины отказа в заключении договора о подключении (технологическом присоединении) к системе теплоснабжения</v>
      </c>
      <c r="F18" s="517" t="s">
        <v>311</v>
      </c>
      <c r="G18" s="681"/>
      <c r="H18" s="681"/>
      <c r="I18" s="832"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01"/>
      <c r="C19" s="522"/>
      <c r="D19" s="517">
        <v>5</v>
      </c>
      <c r="E19" s="260" t="str">
        <f>TP_P_G</f>
        <v>Резерв мощности источников тепловой энергии, входящих в систему теплоснабжения, в течение одного квартала, в том числе:</v>
      </c>
      <c r="F19" s="517" t="str">
        <f>IF(TEMPLATE_SPHERE="HEAT","Гкал/час","тыс. куб. м/сутки")</f>
        <v>Гкал/час</v>
      </c>
      <c r="G19" s="682">
        <f>SUM(G20:G22)</f>
        <v>0</v>
      </c>
      <c r="H19" s="682">
        <f>SUM(H20:H22)</f>
        <v>0</v>
      </c>
      <c r="I19" s="187"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05" t="s">
        <v>1029</v>
      </c>
      <c r="E20" s="683"/>
      <c r="F20" s="505"/>
      <c r="G20" s="505"/>
      <c r="H20" s="505"/>
      <c r="I20" s="1787"/>
    </row>
    <row customHeight="1" ht="27.75">
      <c r="C21" s="447"/>
      <c r="D21" s="535" t="s">
        <v>320</v>
      </c>
      <c r="E21" s="665"/>
      <c r="F21" s="1785" t="str">
        <f>IF(TEMPLATE_SPHERE="HEAT","Гкал/час","тыс. куб. м/сутки")</f>
        <v>Гкал/час</v>
      </c>
      <c r="G21" s="675"/>
      <c r="H21" s="675"/>
      <c r="I21" s="1997"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01"/>
      <c r="C22" s="501"/>
      <c r="D22" s="335"/>
      <c r="E22" s="576" t="s">
        <v>1030</v>
      </c>
      <c r="F22" s="568"/>
      <c r="G22" s="568"/>
      <c r="H22" s="568"/>
      <c r="I22" s="1999"/>
      <c r="R22" s="501"/>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6C1E54-4434-78C3-B7A2-D0D9E30904A8}"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2216" width="9.140625" hidden="1" customWidth="1"/>
    <col min="2" max="2" style="1383" width="9.140625" hidden="1" customWidth="1"/>
    <col min="3" max="3" style="332" width="3.7109375" customWidth="1"/>
    <col min="4" max="4" style="1660" width="6.28125" customWidth="1"/>
    <col min="5" max="6" style="1660" width="64.140625" customWidth="1"/>
    <col min="7" max="7" style="1660" width="141.140625" customWidth="1"/>
    <col min="8" max="8" style="1660" width="10.57421875"/>
    <col min="9" max="10" style="1649" width="10.57421875"/>
    <col min="11" max="16" style="1660" width="10.57421875"/>
  </cols>
  <sheetData>
    <row customHeight="1" ht="14.25" hidden="1">
      <c r="M1" s="234"/>
      <c r="N1" s="234"/>
      <c r="P1" s="234"/>
    </row>
    <row customHeight="1" ht="14.25" hidden="1"/>
    <row customHeight="1" ht="14.25" hidden="1"/>
    <row customHeight="1" ht="3">
      <c r="C4" s="76"/>
      <c r="D4" s="65"/>
      <c r="E4" s="65"/>
      <c r="F4" s="66"/>
      <c r="G4" s="66"/>
    </row>
    <row customHeight="1" ht="27.75">
      <c r="C5" s="76"/>
      <c r="D5" s="2278"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79"/>
      <c r="F5" s="2279"/>
      <c r="G5" s="2280"/>
    </row>
    <row s="1660" customFormat="1" customHeight="1" ht="18">
      <c r="A6" s="876"/>
      <c r="B6" s="414"/>
      <c r="C6" s="368"/>
      <c r="D6" s="2281" t="str">
        <f>IF(org=0,"Не определено",org)</f>
        <v>ООО "ПРОМ ИМПУЛЬС"</v>
      </c>
      <c r="E6" s="2282"/>
      <c r="F6" s="2282"/>
      <c r="G6" s="2283"/>
      <c r="I6" s="496"/>
      <c r="J6" s="496"/>
    </row>
    <row customHeight="1" ht="14.25">
      <c r="C7" s="76"/>
      <c r="D7" s="65"/>
      <c r="E7" s="75"/>
      <c r="F7" s="747"/>
      <c r="G7" s="172"/>
    </row>
    <row s="1660" customFormat="1" customHeight="1" ht="0.75">
      <c r="A8" s="1694"/>
      <c r="B8" s="1155"/>
      <c r="C8" s="368"/>
      <c r="D8" s="353"/>
      <c r="E8" s="386"/>
      <c r="F8" s="747"/>
      <c r="G8" s="172"/>
      <c r="I8" s="1649"/>
      <c r="J8" s="1649"/>
    </row>
    <row customHeight="1" ht="14.25">
      <c r="C9" s="76"/>
      <c r="D9" s="2044" t="s">
        <v>305</v>
      </c>
      <c r="E9" s="2044"/>
      <c r="F9" s="2044"/>
      <c r="G9" s="2284" t="s">
        <v>306</v>
      </c>
    </row>
    <row customHeight="1" ht="14.25">
      <c r="C10" s="76"/>
      <c r="D10" s="85" t="s">
        <v>87</v>
      </c>
      <c r="E10" s="88" t="s">
        <v>307</v>
      </c>
      <c r="F10" s="88" t="s">
        <v>397</v>
      </c>
      <c r="G10" s="2284"/>
    </row>
    <row customHeight="1" ht="12" hidden="1">
      <c r="C11" s="76"/>
      <c r="D11" s="68"/>
      <c r="E11" s="68"/>
      <c r="F11" s="68"/>
      <c r="G11" s="68"/>
    </row>
    <row customHeight="1" ht="62.25">
      <c r="A12" s="171"/>
      <c r="C12" s="76"/>
      <c r="D12" s="127">
        <v>1</v>
      </c>
      <c r="E12" s="176"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77" t="s">
        <v>311</v>
      </c>
      <c r="G12" s="131"/>
    </row>
    <row customHeight="1" ht="22.5">
      <c r="A13" s="171"/>
      <c r="C13" s="76"/>
      <c r="D13" s="127" t="s">
        <v>935</v>
      </c>
      <c r="E13" s="173"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77" t="s">
        <v>311</v>
      </c>
      <c r="G13" s="131"/>
    </row>
    <row customHeight="1" ht="14.25">
      <c r="A14" s="171"/>
      <c r="C14" s="76"/>
      <c r="D14" s="127" t="s">
        <v>971</v>
      </c>
      <c r="E14" s="174"/>
      <c r="F14" s="192"/>
      <c r="G14" s="1997"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1"/>
      <c r="C15" s="76"/>
      <c r="D15" s="89"/>
      <c r="E15" s="337" t="s">
        <v>1031</v>
      </c>
      <c r="F15" s="180"/>
      <c r="G15" s="1999"/>
    </row>
    <row customHeight="1" ht="14.25">
      <c r="A16" s="171"/>
      <c r="C16" s="76"/>
      <c r="D16" s="127" t="s">
        <v>937</v>
      </c>
      <c r="E16" s="173"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77" t="s">
        <v>311</v>
      </c>
      <c r="G16" s="325"/>
    </row>
    <row customHeight="1" ht="14.25">
      <c r="A17" s="171"/>
      <c r="C17" s="76"/>
      <c r="D17" s="127" t="s">
        <v>979</v>
      </c>
      <c r="E17" s="174"/>
      <c r="F17" s="382"/>
      <c r="G17" s="1997"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1660" customFormat="1" customHeight="1" ht="21">
      <c r="A18" s="331"/>
      <c r="B18" s="126"/>
      <c r="C18" s="288"/>
      <c r="D18" s="335"/>
      <c r="E18" s="337" t="s">
        <v>1032</v>
      </c>
      <c r="F18" s="326"/>
      <c r="G18" s="1999"/>
      <c r="I18" s="338"/>
      <c r="J18" s="338"/>
    </row>
    <row s="1660" customFormat="1" customHeight="1" ht="256.5" hidden="1">
      <c r="A19" s="331"/>
      <c r="B19" s="414"/>
      <c r="C19" s="368"/>
      <c r="D19" s="878" t="s">
        <v>939</v>
      </c>
      <c r="E19" s="877" t="s">
        <v>1033</v>
      </c>
      <c r="F19" s="382"/>
      <c r="G19" s="325" t="s">
        <v>1034</v>
      </c>
      <c r="I19" s="496"/>
      <c r="J19" s="496"/>
    </row>
    <row s="1660" customFormat="1" customHeight="1" ht="14.25">
      <c r="A20" s="331"/>
      <c r="B20" s="126"/>
      <c r="C20" s="288"/>
      <c r="D20" s="879">
        <v>2</v>
      </c>
      <c r="E20" s="318" t="s">
        <v>1035</v>
      </c>
      <c r="F20" s="177" t="s">
        <v>311</v>
      </c>
      <c r="G20" s="325"/>
      <c r="I20" s="338"/>
      <c r="J20" s="338"/>
    </row>
    <row s="1660" customFormat="1" customHeight="1" ht="18.75" hidden="1">
      <c r="A21" s="331"/>
      <c r="B21" s="126"/>
      <c r="C21" s="288"/>
      <c r="D21" s="321" t="s">
        <v>865</v>
      </c>
      <c r="E21" s="320"/>
      <c r="F21" s="319"/>
      <c r="G21" s="329"/>
      <c r="H21" s="322"/>
      <c r="I21" s="338"/>
      <c r="J21" s="338"/>
    </row>
    <row customHeight="1" ht="15">
      <c r="A22" s="171"/>
      <c r="C22" s="76"/>
      <c r="D22" s="89"/>
      <c r="E22" s="182" t="s">
        <v>1036</v>
      </c>
      <c r="F22" s="326"/>
      <c r="G22" s="327"/>
    </row>
    <row s="1660" customFormat="1" customHeight="1" ht="22.5" hidden="1">
      <c r="A23" s="331"/>
      <c r="B23" s="1155"/>
      <c r="C23" s="368"/>
      <c r="D23" s="1698" t="s">
        <v>109</v>
      </c>
      <c r="E23" s="176" t="s">
        <v>1037</v>
      </c>
      <c r="F23" s="1695" t="s">
        <v>311</v>
      </c>
      <c r="G23" s="333"/>
      <c r="I23" s="1649"/>
      <c r="J23" s="1649"/>
    </row>
    <row s="1660" customFormat="1" customHeight="1" ht="14.25" hidden="1">
      <c r="A24" s="331"/>
      <c r="B24" s="1155"/>
      <c r="C24" s="368"/>
      <c r="D24" s="1698" t="s">
        <v>621</v>
      </c>
      <c r="E24" s="1697" t="s">
        <v>1038</v>
      </c>
      <c r="F24" s="1695" t="s">
        <v>311</v>
      </c>
      <c r="G24" s="325"/>
      <c r="I24" s="1649"/>
      <c r="J24" s="1649"/>
    </row>
    <row s="1660" customFormat="1" customHeight="1" ht="14.25" hidden="1">
      <c r="A25" s="331"/>
      <c r="B25" s="1155"/>
      <c r="C25" s="368"/>
      <c r="D25" s="1698" t="s">
        <v>624</v>
      </c>
      <c r="E25" s="174"/>
      <c r="F25" s="382"/>
      <c r="G25" s="1997" t="s">
        <v>1039</v>
      </c>
      <c r="I25" s="1649"/>
      <c r="J25" s="1649"/>
    </row>
    <row s="1660" customFormat="1" customHeight="1" ht="22.5" hidden="1">
      <c r="A26" s="331"/>
      <c r="B26" s="1155"/>
      <c r="C26" s="368"/>
      <c r="D26" s="335"/>
      <c r="E26" s="337" t="s">
        <v>1040</v>
      </c>
      <c r="F26" s="326"/>
      <c r="G26" s="1999"/>
      <c r="I26" s="1649"/>
      <c r="J26" s="1649"/>
    </row>
    <row customHeight="1" ht="3"/>
    <row customHeight="1" ht="14.25">
      <c r="D28" s="324"/>
      <c r="E28" s="323"/>
      <c r="F28" s="299"/>
      <c r="G28" s="299"/>
      <c r="H28" s="299"/>
      <c r="I28" s="299"/>
      <c r="J28" s="299"/>
      <c r="K28" s="299"/>
      <c r="L28" s="299"/>
      <c r="M28" s="299"/>
      <c r="N28" s="299"/>
      <c r="O28" s="299"/>
      <c r="P28" s="299"/>
    </row>
    <row customHeight="1" ht="14.25">
      <c r="D29" s="324"/>
      <c r="E29" s="578"/>
    </row>
    <row r="31" customHeight="1" ht="14.25">
      <c r="E31" s="753"/>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31B295-C519-C2DB-C94A-6066EF3B22C6}" mc:Ignorable="x14ac xr xr2 xr3">
  <sheetPr>
    <tabColor theme="6" tint="0.4"/>
  </sheetPr>
  <dimension ref="A1:L42"/>
  <sheetViews>
    <sheetView topLeftCell="C13" showGridLines="0" zoomScale="90" workbookViewId="0">
      <selection activeCell="A1" sqref="A1"/>
    </sheetView>
  </sheetViews>
  <sheetFormatPr defaultColWidth="10.57421875" customHeight="1" defaultRowHeight="14.25"/>
  <cols>
    <col min="1" max="1" style="1801" width="9.140625" hidden="1" customWidth="1"/>
    <col min="2" max="2" style="1383" width="9.140625" hidden="1" customWidth="1"/>
    <col min="3" max="3" style="332" width="3.7109375" customWidth="1"/>
    <col min="4" max="4" style="1660" width="6.28125" customWidth="1"/>
    <col min="5" max="5" style="1660" width="63.421875" customWidth="1"/>
    <col min="6" max="6" style="1660" width="1.7109375" hidden="1" customWidth="1"/>
    <col min="7" max="8" style="1660" width="35.7109375" customWidth="1"/>
    <col min="9" max="9" style="1660" width="91.57421875" customWidth="1"/>
    <col min="10" max="10" style="1660" width="68.8515625" customWidth="1"/>
    <col min="11" max="12" style="1649" width="10.57421875"/>
  </cols>
  <sheetData>
    <row customHeight="1" ht="14.25" hidden="1"/>
    <row s="1660" customFormat="1" customHeight="1" ht="18.75" hidden="1">
      <c r="A2" s="1708"/>
      <c r="B2" s="1155"/>
      <c r="C2" s="1754" t="s">
        <v>169</v>
      </c>
      <c r="D2" s="1698"/>
      <c r="E2" s="178"/>
      <c r="F2" s="1695"/>
      <c r="G2" s="1695" t="s">
        <v>311</v>
      </c>
      <c r="H2" s="1156"/>
      <c r="K2" s="1649"/>
      <c r="L2" s="1649"/>
    </row>
    <row s="1660" customFormat="1" customHeight="1" ht="14.25" hidden="1">
      <c r="A3" s="1379"/>
      <c r="B3" s="1155"/>
      <c r="C3" s="332"/>
      <c r="K3" s="1649"/>
      <c r="L3" s="1649"/>
    </row>
    <row s="1660" customFormat="1" customHeight="1" ht="18.75" hidden="1">
      <c r="A4" s="1708"/>
      <c r="B4" s="1155"/>
      <c r="C4" s="1754" t="s">
        <v>169</v>
      </c>
      <c r="D4" s="1698"/>
      <c r="E4" s="184" t="s">
        <v>1041</v>
      </c>
      <c r="F4" s="1695"/>
      <c r="G4" s="236"/>
      <c r="H4" s="1695" t="s">
        <v>311</v>
      </c>
      <c r="K4" s="1649"/>
      <c r="L4" s="1649"/>
    </row>
    <row s="1660" customFormat="1" customHeight="1" ht="14.25" hidden="1">
      <c r="A5" s="1379"/>
      <c r="B5" s="1155"/>
      <c r="C5" s="332"/>
      <c r="K5" s="1649"/>
      <c r="L5" s="1649"/>
    </row>
    <row s="1660" customFormat="1" customHeight="1" ht="18.75" hidden="1">
      <c r="A6" s="1708"/>
      <c r="B6" s="1155"/>
      <c r="C6" s="1754" t="s">
        <v>169</v>
      </c>
      <c r="D6" s="1698"/>
      <c r="E6" s="185" t="s">
        <v>1042</v>
      </c>
      <c r="F6" s="1695"/>
      <c r="G6" s="236"/>
      <c r="H6" s="1695" t="s">
        <v>311</v>
      </c>
      <c r="K6" s="1649"/>
      <c r="L6" s="1649"/>
    </row>
    <row s="1660" customFormat="1" customHeight="1" ht="14.25" hidden="1">
      <c r="A7" s="1379"/>
      <c r="B7" s="1155"/>
      <c r="C7" s="332"/>
      <c r="K7" s="1649"/>
      <c r="L7" s="1649"/>
    </row>
    <row s="1660" customFormat="1" customHeight="1" ht="18.75" hidden="1">
      <c r="A8" s="1708"/>
      <c r="B8" s="1155"/>
      <c r="C8" s="1754" t="s">
        <v>169</v>
      </c>
      <c r="D8" s="1698"/>
      <c r="E8" s="185" t="s">
        <v>1043</v>
      </c>
      <c r="F8" s="1695"/>
      <c r="G8" s="236"/>
      <c r="H8" s="1695" t="s">
        <v>311</v>
      </c>
      <c r="K8" s="1649"/>
      <c r="L8" s="1649"/>
    </row>
    <row s="1660" customFormat="1" customHeight="1" ht="14.25" hidden="1">
      <c r="A9" s="1379"/>
      <c r="B9" s="1155"/>
      <c r="C9" s="332"/>
      <c r="K9" s="1649"/>
      <c r="L9" s="1649"/>
    </row>
    <row s="1660" customFormat="1" customHeight="1" ht="18.75" hidden="1">
      <c r="A10" s="1708"/>
      <c r="B10" s="1155"/>
      <c r="C10" s="1754" t="s">
        <v>169</v>
      </c>
      <c r="D10" s="1698"/>
      <c r="E10" s="185" t="s">
        <v>1044</v>
      </c>
      <c r="F10" s="1695"/>
      <c r="G10" s="1699"/>
      <c r="H10" s="1695" t="s">
        <v>311</v>
      </c>
      <c r="K10" s="1649"/>
      <c r="L10" s="1649" t="s">
        <v>1045</v>
      </c>
    </row>
    <row customHeight="1" ht="14.25" hidden="1"/>
    <row customHeight="1" ht="14.25" hidden="1"/>
    <row customHeight="1" ht="14.25">
      <c r="C13" s="76"/>
      <c r="D13" s="65"/>
      <c r="E13" s="65"/>
      <c r="F13" s="65"/>
      <c r="G13" s="65"/>
      <c r="H13" s="66"/>
      <c r="I13" s="66"/>
    </row>
    <row customHeight="1" ht="27.75">
      <c r="C14" s="76"/>
      <c r="D14" s="2278"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79"/>
      <c r="F14" s="2279"/>
      <c r="G14" s="2279"/>
      <c r="H14" s="2280"/>
      <c r="J14" s="1656"/>
    </row>
    <row s="1660" customFormat="1" customHeight="1" ht="14.25">
      <c r="A15" s="1379"/>
      <c r="B15" s="1155"/>
      <c r="C15" s="368"/>
      <c r="D15" s="2281" t="str">
        <f>IF(org=0,"Не определено",org)</f>
        <v>ООО "ПРОМ ИМПУЛЬС"</v>
      </c>
      <c r="E15" s="2282"/>
      <c r="F15" s="2282"/>
      <c r="G15" s="2282"/>
      <c r="H15" s="2283"/>
      <c r="J15" s="846"/>
      <c r="K15" s="1649"/>
      <c r="L15" s="1649"/>
    </row>
    <row customHeight="1" ht="14.25">
      <c r="C16" s="76"/>
      <c r="D16" s="65"/>
      <c r="E16" s="75"/>
      <c r="F16" s="75"/>
      <c r="G16" s="75"/>
      <c r="H16" s="747"/>
      <c r="I16" s="172"/>
    </row>
    <row s="1660" customFormat="1" customHeight="1" ht="14.25" hidden="1">
      <c r="A17" s="1379"/>
      <c r="B17" s="1155"/>
      <c r="C17" s="368"/>
      <c r="D17" s="353"/>
      <c r="E17" s="386"/>
      <c r="F17" s="386"/>
      <c r="G17" s="386"/>
      <c r="H17" s="747"/>
      <c r="I17" s="172"/>
      <c r="K17" s="1649"/>
      <c r="L17" s="1649"/>
    </row>
    <row customHeight="1" ht="21">
      <c r="C18" s="76"/>
      <c r="D18" s="2044" t="s">
        <v>305</v>
      </c>
      <c r="E18" s="2044"/>
      <c r="F18" s="2044"/>
      <c r="G18" s="2044"/>
      <c r="H18" s="2044"/>
      <c r="I18" s="2284" t="s">
        <v>306</v>
      </c>
    </row>
    <row customHeight="1" ht="21">
      <c r="C19" s="76"/>
      <c r="D19" s="85" t="s">
        <v>87</v>
      </c>
      <c r="E19" s="88" t="s">
        <v>307</v>
      </c>
      <c r="F19" s="88"/>
      <c r="G19" s="88" t="s">
        <v>308</v>
      </c>
      <c r="H19" s="88" t="s">
        <v>397</v>
      </c>
      <c r="I19" s="2284"/>
    </row>
    <row customHeight="1" ht="12" hidden="1">
      <c r="C20" s="76"/>
      <c r="D20" s="68"/>
      <c r="E20" s="68"/>
      <c r="F20" s="68"/>
      <c r="G20" s="68"/>
      <c r="H20" s="68"/>
      <c r="I20" s="68"/>
    </row>
    <row customHeight="1" ht="14.25">
      <c r="A21" s="1708"/>
      <c r="C21" s="76"/>
      <c r="D21" s="127">
        <v>1</v>
      </c>
      <c r="E21" s="2286" t="s">
        <v>1046</v>
      </c>
      <c r="F21" s="2286"/>
      <c r="G21" s="2286"/>
      <c r="H21" s="2286"/>
      <c r="I21" s="187"/>
    </row>
    <row customHeight="1" ht="20.25">
      <c r="A22" s="1708"/>
      <c r="C22" s="76"/>
      <c r="D22" s="127" t="s">
        <v>935</v>
      </c>
      <c r="E22" s="173" t="s">
        <v>1047</v>
      </c>
      <c r="F22" s="177"/>
      <c r="G22" s="1761"/>
      <c r="H22" s="177" t="s">
        <v>311</v>
      </c>
      <c r="I22" s="131" t="s">
        <v>1048</v>
      </c>
    </row>
    <row customHeight="1" ht="45">
      <c r="A23" s="1708"/>
      <c r="C23" s="76"/>
      <c r="D23" s="127" t="s">
        <v>937</v>
      </c>
      <c r="E23" s="173" t="s">
        <v>1049</v>
      </c>
      <c r="F23" s="177"/>
      <c r="G23" s="236"/>
      <c r="H23" s="192"/>
      <c r="I23" s="237" t="s">
        <v>1050</v>
      </c>
    </row>
    <row customHeight="1" ht="14.25">
      <c r="A24" s="1708"/>
      <c r="B24" s="126">
        <v>3</v>
      </c>
      <c r="C24" s="76"/>
      <c r="D24" s="127">
        <v>2</v>
      </c>
      <c r="E24" s="201"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77"/>
      <c r="G24" s="177" t="s">
        <v>311</v>
      </c>
      <c r="H24" s="192"/>
      <c r="I24" s="238" t="s">
        <v>802</v>
      </c>
    </row>
    <row customHeight="1" ht="46.5">
      <c r="A25" s="1708"/>
      <c r="C25" s="76"/>
      <c r="D25" s="127">
        <v>3</v>
      </c>
      <c r="E25" s="228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285"/>
      <c r="G25" s="2285"/>
      <c r="H25" s="2285"/>
      <c r="I25" s="235"/>
    </row>
    <row customHeight="1" ht="14.25">
      <c r="A26" s="1708"/>
      <c r="C26" s="76"/>
      <c r="D26" s="127" t="s">
        <v>331</v>
      </c>
      <c r="E26" s="178"/>
      <c r="F26" s="177"/>
      <c r="G26" s="177" t="s">
        <v>311</v>
      </c>
      <c r="H26" s="192"/>
      <c r="I26" s="1997" t="s">
        <v>1051</v>
      </c>
    </row>
    <row customHeight="1" ht="15">
      <c r="A27" s="1708" t="s">
        <v>108</v>
      </c>
      <c r="C27" s="76"/>
      <c r="D27" s="89"/>
      <c r="E27" s="182" t="s">
        <v>1036</v>
      </c>
      <c r="F27" s="183"/>
      <c r="G27" s="183"/>
      <c r="H27" s="180"/>
      <c r="I27" s="1999"/>
    </row>
    <row customHeight="1" ht="38.25">
      <c r="A28" s="1708"/>
      <c r="B28" s="126">
        <v>3</v>
      </c>
      <c r="C28" s="76"/>
      <c r="D28" s="127">
        <v>4</v>
      </c>
      <c r="E28" s="228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285"/>
      <c r="G28" s="2285"/>
      <c r="H28" s="2285"/>
      <c r="I28" s="235"/>
    </row>
    <row customHeight="1" ht="20.25">
      <c r="A29" s="1708"/>
      <c r="C29" s="76"/>
      <c r="D29" s="127" t="s">
        <v>666</v>
      </c>
      <c r="E29" s="184" t="s">
        <v>1041</v>
      </c>
      <c r="F29" s="177"/>
      <c r="G29" s="236"/>
      <c r="H29" s="177" t="s">
        <v>311</v>
      </c>
      <c r="I29" s="1997" t="s">
        <v>1052</v>
      </c>
    </row>
    <row customHeight="1" ht="15">
      <c r="A30" s="1708" t="s">
        <v>109</v>
      </c>
      <c r="C30" s="76"/>
      <c r="D30" s="89"/>
      <c r="E30" s="182" t="s">
        <v>1036</v>
      </c>
      <c r="F30" s="183"/>
      <c r="G30" s="183"/>
      <c r="H30" s="180"/>
      <c r="I30" s="1999"/>
    </row>
    <row customHeight="1" ht="30">
      <c r="A31" s="1708"/>
      <c r="B31" s="126">
        <v>3</v>
      </c>
      <c r="C31" s="76"/>
      <c r="D31" s="127">
        <v>5</v>
      </c>
      <c r="E31" s="228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285"/>
      <c r="G31" s="2285"/>
      <c r="H31" s="2285"/>
      <c r="I31" s="235"/>
    </row>
    <row customHeight="1" ht="26.25">
      <c r="A32" s="1708"/>
      <c r="C32" s="76"/>
      <c r="D32" s="127" t="s">
        <v>320</v>
      </c>
      <c r="E32" s="222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227"/>
      <c r="G32" s="2227"/>
      <c r="H32" s="2227"/>
      <c r="I32" s="235"/>
    </row>
    <row customHeight="1" ht="14.25">
      <c r="A33" s="1708"/>
      <c r="C33" s="76"/>
      <c r="D33" s="127" t="s">
        <v>1053</v>
      </c>
      <c r="E33" s="185" t="s">
        <v>1042</v>
      </c>
      <c r="F33" s="177"/>
      <c r="G33" s="236"/>
      <c r="H33" s="177" t="s">
        <v>311</v>
      </c>
      <c r="I33" s="1997" t="s">
        <v>1054</v>
      </c>
    </row>
    <row customHeight="1" ht="15">
      <c r="A34" s="1708" t="s">
        <v>89</v>
      </c>
      <c r="C34" s="76"/>
      <c r="D34" s="89"/>
      <c r="E34" s="183" t="s">
        <v>1036</v>
      </c>
      <c r="F34" s="179"/>
      <c r="G34" s="179"/>
      <c r="H34" s="180"/>
      <c r="I34" s="1999"/>
    </row>
    <row customHeight="1" ht="24">
      <c r="A35" s="1708"/>
      <c r="C35" s="76"/>
      <c r="D35" s="127" t="s">
        <v>322</v>
      </c>
      <c r="E35" s="222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227"/>
      <c r="G35" s="2227"/>
      <c r="H35" s="2227"/>
      <c r="I35" s="235"/>
    </row>
    <row customHeight="1" ht="14.25">
      <c r="A36" s="1708"/>
      <c r="C36" s="76"/>
      <c r="D36" s="127" t="s">
        <v>1055</v>
      </c>
      <c r="E36" s="185" t="s">
        <v>1043</v>
      </c>
      <c r="F36" s="177"/>
      <c r="G36" s="236"/>
      <c r="H36" s="177" t="s">
        <v>311</v>
      </c>
      <c r="I36" s="1975" t="s">
        <v>1056</v>
      </c>
    </row>
    <row customHeight="1" ht="15">
      <c r="A37" s="1708" t="s">
        <v>90</v>
      </c>
      <c r="C37" s="76"/>
      <c r="D37" s="89"/>
      <c r="E37" s="183" t="s">
        <v>1036</v>
      </c>
      <c r="F37" s="179"/>
      <c r="G37" s="179"/>
      <c r="H37" s="180"/>
      <c r="I37" s="1975"/>
    </row>
    <row customHeight="1" ht="26.25">
      <c r="A38" s="1708"/>
      <c r="C38" s="76"/>
      <c r="D38" s="127" t="s">
        <v>325</v>
      </c>
      <c r="E38" s="222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227"/>
      <c r="G38" s="2227"/>
      <c r="H38" s="2227"/>
      <c r="I38" s="235"/>
    </row>
    <row customHeight="1" ht="14.25">
      <c r="A39" s="1708"/>
      <c r="C39" s="76"/>
      <c r="D39" s="127" t="s">
        <v>795</v>
      </c>
      <c r="E39" s="185" t="s">
        <v>1044</v>
      </c>
      <c r="F39" s="177"/>
      <c r="G39" s="186"/>
      <c r="H39" s="177" t="s">
        <v>311</v>
      </c>
      <c r="I39" s="1997" t="s">
        <v>1057</v>
      </c>
      <c r="L39" s="135" t="s">
        <v>1045</v>
      </c>
    </row>
    <row customHeight="1" ht="15">
      <c r="A40" s="1708" t="s">
        <v>110</v>
      </c>
      <c r="C40" s="76"/>
      <c r="D40" s="89"/>
      <c r="E40" s="183" t="s">
        <v>1036</v>
      </c>
      <c r="F40" s="179"/>
      <c r="G40" s="179"/>
      <c r="H40" s="180"/>
      <c r="I40" s="1999"/>
    </row>
    <row s="1848" customFormat="1" customHeight="1" ht="3">
      <c r="A41" s="1708"/>
      <c r="K41" s="175"/>
      <c r="L41" s="175"/>
    </row>
    <row customHeight="1" ht="24.75">
      <c r="D42" s="1706" t="s">
        <v>717</v>
      </c>
      <c r="E42" s="208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088"/>
      <c r="G42" s="2088"/>
      <c r="H42" s="2088"/>
      <c r="I42" s="2088"/>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322264-B3CA-F54E-84B9-B3BDCD883B32}" mc:Ignorable="x14ac xr xr2 xr3">
  <sheetPr>
    <tabColor theme="6" tint="0.4"/>
  </sheetPr>
  <dimension ref="A1:AG337"/>
  <sheetViews>
    <sheetView topLeftCell="D13" showGridLines="0" zoomScale="90" workbookViewId="0">
      <selection activeCell="A281" sqref="A281:XFD282"/>
    </sheetView>
  </sheetViews>
  <sheetFormatPr defaultColWidth="10.57421875" customHeight="1" defaultRowHeight="14.25"/>
  <cols>
    <col min="1" max="2" style="1804" width="25.140625" hidden="1" customWidth="1"/>
    <col min="3" max="3" style="1712" width="9.140625" hidden="1" customWidth="1"/>
    <col min="4" max="4" style="332" width="3.7109375" customWidth="1"/>
    <col min="5" max="5" style="1660" width="6.28125" customWidth="1"/>
    <col min="6" max="6" style="1660" width="46.7109375" customWidth="1"/>
    <col min="7" max="7" style="1660" width="35.7109375" customWidth="1"/>
    <col min="8" max="8" style="1660" width="3.7109375" customWidth="1"/>
    <col min="9" max="10" style="1660" width="11.7109375" customWidth="1"/>
    <col min="11" max="12" style="1660" width="35.7109375" customWidth="1"/>
    <col min="13" max="13" style="1660" width="84.8515625" customWidth="1"/>
    <col min="14" max="14" style="1660" width="10.57421875"/>
    <col min="15" max="16" style="1649" width="10.57421875"/>
    <col min="17" max="33" style="1660" width="10.57421875"/>
  </cols>
  <sheetData>
    <row s="1660" customFormat="1" customHeight="1" ht="14.25" hidden="1">
      <c r="A1" s="1804"/>
      <c r="B1" s="1804"/>
      <c r="C1" s="361"/>
      <c r="D1" s="332"/>
      <c r="N1" s="1661">
        <f>_xlfn.IFERROR(MATCH("метод экономически обоснованных расходов (затрат)",OFFER_METHOD,0),0)</f>
        <v>0</v>
      </c>
      <c r="O1" s="1649"/>
      <c r="P1" s="1649"/>
      <c r="T1" s="825"/>
      <c r="AG1" s="234"/>
    </row>
    <row s="1660" customFormat="1" customHeight="1" ht="18.75" hidden="1">
      <c r="A2" s="1805" t="s">
        <v>153</v>
      </c>
      <c r="B2" s="1805" t="s">
        <v>154</v>
      </c>
      <c r="C2" s="361"/>
      <c r="D2" s="332"/>
      <c r="E2" s="1026"/>
      <c r="F2" s="1026"/>
      <c r="G2" s="2248" t="str">
        <f>INDEX(PT_DIFFERENTIATION_NTAR,MATCH(B2,PT_DIFFERENTIATION_NTAR_ID,0))</f>
        <v/>
      </c>
      <c r="H2" s="1889"/>
      <c r="I2" s="1763"/>
      <c r="J2" s="1798"/>
      <c r="K2" s="1890"/>
      <c r="L2" s="1889" t="s">
        <v>311</v>
      </c>
      <c r="M2" s="1900"/>
      <c r="N2" s="322"/>
      <c r="O2" s="1649"/>
      <c r="P2" s="1649"/>
    </row>
    <row s="1660" customFormat="1" customHeight="1" ht="18.75" hidden="1">
      <c r="A3" s="1805"/>
      <c r="B3" s="1805"/>
      <c r="C3" s="361" t="s">
        <v>1058</v>
      </c>
      <c r="D3" s="332"/>
      <c r="E3" s="1026"/>
      <c r="F3" s="1026"/>
      <c r="G3" s="2248"/>
      <c r="H3" s="1517"/>
      <c r="I3" s="646" t="s">
        <v>1059</v>
      </c>
      <c r="J3" s="567"/>
      <c r="K3" s="1517"/>
      <c r="L3" s="193"/>
      <c r="M3" s="1900"/>
      <c r="N3" s="322"/>
      <c r="O3" s="1649"/>
      <c r="P3" s="1649"/>
    </row>
    <row s="1660" customFormat="1" customHeight="1" ht="14.25" hidden="1">
      <c r="A4" s="1804"/>
      <c r="B4" s="1804"/>
      <c r="C4" s="361"/>
      <c r="D4" s="332"/>
      <c r="N4" s="1661">
        <f>_xlfn.IFERROR(MATCH("метод экономически обоснованных расходов (затрат)",OFFER_METHOD,0),0)</f>
        <v>0</v>
      </c>
      <c r="O4" s="1649"/>
      <c r="P4" s="1649"/>
      <c r="T4" s="825"/>
      <c r="AG4" s="234"/>
    </row>
    <row s="1660" customFormat="1" customHeight="1" ht="18.75" hidden="1">
      <c r="A5" s="1805" t="s">
        <v>153</v>
      </c>
      <c r="B5" s="1805" t="s">
        <v>154</v>
      </c>
      <c r="C5" s="361"/>
      <c r="D5" s="332"/>
      <c r="E5" s="1026"/>
      <c r="F5" s="1026"/>
      <c r="G5" s="2248" t="str">
        <f>INDEX(PT_DIFFERENTIATION_NTAR,MATCH(B5,PT_DIFFERENTIATION_NTAR_ID,0))</f>
        <v/>
      </c>
      <c r="H5" s="1889"/>
      <c r="I5" s="1763"/>
      <c r="J5" s="1798"/>
      <c r="K5" s="1803"/>
      <c r="L5" s="1889" t="s">
        <v>311</v>
      </c>
      <c r="M5" s="1900"/>
      <c r="N5" s="322"/>
      <c r="O5" s="1649"/>
      <c r="P5" s="1649"/>
    </row>
    <row s="1660" customFormat="1" customHeight="1" ht="18.75" hidden="1">
      <c r="A6" s="1805"/>
      <c r="B6" s="1805"/>
      <c r="C6" s="361" t="s">
        <v>1060</v>
      </c>
      <c r="D6" s="332"/>
      <c r="E6" s="1026"/>
      <c r="F6" s="1026"/>
      <c r="G6" s="2248"/>
      <c r="H6" s="1517"/>
      <c r="I6" s="646" t="s">
        <v>1059</v>
      </c>
      <c r="J6" s="567"/>
      <c r="K6" s="1517"/>
      <c r="L6" s="193"/>
      <c r="M6" s="1900"/>
      <c r="N6" s="322"/>
      <c r="O6" s="1649"/>
      <c r="P6" s="1649"/>
    </row>
    <row s="1660" customFormat="1" customHeight="1" ht="14.25" hidden="1">
      <c r="A7" s="1804"/>
      <c r="B7" s="1804"/>
      <c r="C7" s="361"/>
      <c r="D7" s="332"/>
      <c r="N7" s="1661">
        <f>_xlfn.IFERROR(MATCH("метод экономически обоснованных расходов (затрат)",OFFER_METHOD,0),0)</f>
        <v>0</v>
      </c>
      <c r="O7" s="1649"/>
      <c r="P7" s="1649"/>
      <c r="T7" s="825"/>
      <c r="AG7" s="234"/>
    </row>
    <row s="1660" customFormat="1" customHeight="1" ht="56.25" hidden="1">
      <c r="A8" s="1805"/>
      <c r="B8" s="1805"/>
      <c r="C8" s="361"/>
      <c r="D8" s="332"/>
      <c r="E8" s="1026"/>
      <c r="F8" s="1026"/>
      <c r="G8" s="1026"/>
      <c r="H8" s="1796"/>
      <c r="I8" s="1763"/>
      <c r="J8" s="1798"/>
      <c r="K8" s="1890"/>
      <c r="L8" s="1796" t="s">
        <v>311</v>
      </c>
      <c r="M8" s="1900"/>
      <c r="N8" s="322"/>
      <c r="O8" s="1649"/>
      <c r="P8" s="1649"/>
    </row>
    <row customHeight="1" ht="14.25" hidden="1">
      <c r="T9" s="394"/>
      <c r="AG9" s="234"/>
    </row>
    <row s="1660" customFormat="1" customHeight="1" ht="56.25" hidden="1">
      <c r="A10" s="1805"/>
      <c r="B10" s="1805"/>
      <c r="C10" s="361"/>
      <c r="D10" s="332"/>
      <c r="E10" s="1026"/>
      <c r="F10" s="1026"/>
      <c r="G10" s="1026"/>
      <c r="H10" s="1795"/>
      <c r="I10" s="1763"/>
      <c r="J10" s="1798"/>
      <c r="K10" s="1803"/>
      <c r="L10" s="1796" t="s">
        <v>311</v>
      </c>
      <c r="M10" s="1900"/>
      <c r="N10" s="322"/>
      <c r="O10" s="1649"/>
      <c r="P10" s="1649"/>
    </row>
    <row customHeight="1" ht="14.25" hidden="1"/>
    <row customHeight="1" ht="14.25" hidden="1"/>
    <row customHeight="1" ht="6">
      <c r="D13" s="368"/>
      <c r="E13" s="353"/>
      <c r="F13" s="353"/>
      <c r="G13" s="353"/>
      <c r="H13" s="353"/>
      <c r="I13" s="353"/>
      <c r="J13" s="353"/>
      <c r="K13" s="353"/>
      <c r="L13" s="66"/>
      <c r="M13" s="66"/>
    </row>
    <row customHeight="1" ht="14.25">
      <c r="D14" s="368"/>
      <c r="E14" s="228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287"/>
      <c r="G14" s="2287"/>
      <c r="H14" s="2287"/>
      <c r="I14" s="2287"/>
      <c r="J14" s="2287"/>
      <c r="K14" s="2287"/>
      <c r="L14" s="2287"/>
      <c r="M14" s="199"/>
    </row>
    <row customHeight="1" ht="6">
      <c r="D15" s="368"/>
      <c r="E15" s="353"/>
      <c r="F15" s="386"/>
      <c r="G15" s="386"/>
      <c r="H15" s="386"/>
      <c r="I15" s="386"/>
      <c r="J15" s="386"/>
      <c r="K15" s="386"/>
      <c r="L15" s="308"/>
      <c r="M15" s="172"/>
    </row>
    <row customHeight="1" ht="18.75">
      <c r="D16" s="368"/>
      <c r="E16" s="353"/>
      <c r="F16" s="286" t="str">
        <f>"Дата подачи заявления об "&amp;IF(TITLE_DATE_PR_CHANGE="","утверждении","изменении")&amp;" тарифов"</f>
        <v>Дата подачи заявления об утверждении тарифов</v>
      </c>
      <c r="G16" s="2081" t="str">
        <f>IF(TITLE_DATE_PR_CHANGE="",IF(TITLE_DATE_PR="","",TITLE_DATE_PR),TITLE_DATE_PR_CHANGE)</f>
        <v>45268.58207175926</v>
      </c>
      <c r="H16" s="2081"/>
      <c r="I16" s="2081"/>
      <c r="J16" s="2081"/>
      <c r="K16" s="2081"/>
      <c r="L16" s="2081"/>
      <c r="M16" s="395"/>
      <c r="N16" s="314"/>
    </row>
    <row customHeight="1" ht="18.75">
      <c r="D17" s="368"/>
      <c r="E17" s="353"/>
      <c r="F17" s="286" t="str">
        <f>"Номер подачи заявления об "&amp;IF(TITLE_DATE_PR_CHANGE="","утверждении","изменении")&amp;" тарифов"</f>
        <v>Номер подачи заявления об утверждении тарифов</v>
      </c>
      <c r="G17" s="2082" t="str">
        <f>IF(TITLE_NUMBER_PR_CHANGE="",IF(TITLE_NUMBER_PR="","",TITLE_NUMBER_PR),TITLE_NUMBER_PR_CHANGE)</f>
        <v>237-р</v>
      </c>
      <c r="H17" s="2082"/>
      <c r="I17" s="2082"/>
      <c r="J17" s="2082"/>
      <c r="K17" s="2082"/>
      <c r="L17" s="2082"/>
      <c r="M17" s="395"/>
      <c r="N17" s="314"/>
    </row>
    <row customHeight="1" ht="14.25">
      <c r="D18" s="368"/>
      <c r="E18" s="353"/>
      <c r="F18" s="386"/>
      <c r="G18" s="386"/>
      <c r="H18" s="386"/>
      <c r="I18" s="386"/>
      <c r="J18" s="386"/>
      <c r="K18" s="386"/>
      <c r="L18" s="747"/>
      <c r="M18" s="172"/>
    </row>
    <row customHeight="1" ht="21">
      <c r="D19" s="368"/>
      <c r="E19" s="2044" t="s">
        <v>305</v>
      </c>
      <c r="F19" s="2044"/>
      <c r="G19" s="2044"/>
      <c r="H19" s="2044"/>
      <c r="I19" s="2044"/>
      <c r="J19" s="2044"/>
      <c r="K19" s="2044"/>
      <c r="L19" s="2044"/>
      <c r="M19" s="2284" t="s">
        <v>306</v>
      </c>
    </row>
    <row customHeight="1" ht="21">
      <c r="D20" s="368"/>
      <c r="E20" s="2111" t="s">
        <v>87</v>
      </c>
      <c r="F20" s="2055" t="s">
        <v>121</v>
      </c>
      <c r="G20" s="2055" t="s">
        <v>122</v>
      </c>
      <c r="H20" s="2252" t="s">
        <v>1061</v>
      </c>
      <c r="I20" s="2256"/>
      <c r="J20" s="2253"/>
      <c r="K20" s="2055" t="s">
        <v>308</v>
      </c>
      <c r="L20" s="2055" t="s">
        <v>397</v>
      </c>
      <c r="M20" s="2284"/>
    </row>
    <row customHeight="1" ht="21">
      <c r="D21" s="368"/>
      <c r="E21" s="2113"/>
      <c r="F21" s="2056"/>
      <c r="G21" s="2056"/>
      <c r="H21" s="2050" t="s">
        <v>1062</v>
      </c>
      <c r="I21" s="2066"/>
      <c r="J21" s="88" t="s">
        <v>1063</v>
      </c>
      <c r="K21" s="2056"/>
      <c r="L21" s="2056"/>
      <c r="M21" s="2284"/>
    </row>
    <row customHeight="1" ht="12">
      <c r="D22" s="368"/>
      <c r="E22" s="262"/>
      <c r="F22" s="262"/>
      <c r="G22" s="262"/>
      <c r="H22" s="2289"/>
      <c r="I22" s="2289"/>
      <c r="J22" s="262"/>
      <c r="K22" s="262"/>
      <c r="L22" s="262"/>
      <c r="M22" s="262"/>
    </row>
    <row customHeight="1" ht="18.75">
      <c r="A23" s="1805"/>
      <c r="B23" s="1805"/>
      <c r="D23" s="368"/>
      <c r="E23" s="1891" t="s">
        <v>108</v>
      </c>
      <c r="F23" s="2290" t="str">
        <f>"Предлагаемый метод регулирования"&amp;IF(TEMPLATE_SPHERE="HEAT"," в сфере "&amp;TEMPLATE_SPHERE_RUS,"")</f>
        <v>Предлагаемый метод регулирования в сфере теплоснабжения</v>
      </c>
      <c r="G23" s="2291"/>
      <c r="H23" s="2286"/>
      <c r="I23" s="2286"/>
      <c r="J23" s="2286"/>
      <c r="K23" s="2291" t="s">
        <v>311</v>
      </c>
      <c r="L23" s="2286"/>
      <c r="M23" s="1794"/>
      <c r="N23" s="322"/>
    </row>
    <row customHeight="1" ht="60.75" hidden="1">
      <c r="A24" s="1805" t="s">
        <v>153</v>
      </c>
      <c r="B24" s="1805" t="s">
        <v>154</v>
      </c>
      <c r="D24" s="2288"/>
      <c r="E24" s="2038"/>
      <c r="F24" s="229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48" t="str">
        <f>INDEX(PT_DIFFERENTIATION_NTAR,MATCH(B24,PT_DIFFERENTIATION_NTAR_ID,0))</f>
        <v/>
      </c>
      <c r="H24" s="1887"/>
      <c r="I24" s="1763"/>
      <c r="J24" s="1798"/>
      <c r="K24" s="1890"/>
      <c r="L24" s="1793" t="s">
        <v>311</v>
      </c>
      <c r="M24"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22"/>
    </row>
    <row s="1660" customFormat="1" customHeight="1" ht="18.75" hidden="1">
      <c r="A25" s="1805"/>
      <c r="B25" s="1805"/>
      <c r="C25" s="361" t="s">
        <v>1058</v>
      </c>
      <c r="D25" s="2288"/>
      <c r="E25" s="2038"/>
      <c r="F25" s="2292"/>
      <c r="G25" s="2248"/>
      <c r="H25" s="1517"/>
      <c r="I25" s="646" t="s">
        <v>1059</v>
      </c>
      <c r="J25" s="567"/>
      <c r="K25" s="1517"/>
      <c r="L25" s="193"/>
      <c r="M25" s="1998"/>
      <c r="N25" s="322"/>
      <c r="O25" s="1649"/>
      <c r="P25" s="1649"/>
    </row>
    <row customHeight="1" ht="0.75" hidden="1">
      <c r="A26" s="1805"/>
      <c r="B26" s="1805"/>
      <c r="C26" s="361" t="s">
        <v>1064</v>
      </c>
      <c r="D26" s="2288"/>
      <c r="E26" s="2038"/>
      <c r="F26" s="2202"/>
      <c r="G26" s="397"/>
      <c r="H26" s="1517"/>
      <c r="I26" s="392"/>
      <c r="J26" s="337"/>
      <c r="K26" s="1517"/>
      <c r="L26" s="180"/>
      <c r="M26" s="1998"/>
      <c r="N26" s="322"/>
    </row>
    <row s="1660" customFormat="1" customHeight="1" ht="45" hidden="1">
      <c r="A27" s="1805" t="s">
        <v>161</v>
      </c>
      <c r="B27" s="1805" t="s">
        <v>162</v>
      </c>
      <c r="C27" s="361"/>
      <c r="D27" s="2293"/>
      <c r="E27" s="2294"/>
      <c r="F27" s="2295"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48" t="str">
        <f>INDEX(PT_DIFFERENTIATION_NTAR,MATCH(B27,PT_DIFFERENTIATION_NTAR_ID,0))</f>
        <v>Тарифы на тепловую энергию, поставляемую обществом с ограниченной ответственностью "ПРОМ ИМПУЛЬС" потребителям, расположенным на территории Санкт-Петербурга</v>
      </c>
      <c r="H27" s="1887"/>
      <c r="I27" s="1763"/>
      <c r="J27" s="1798"/>
      <c r="K27" s="1890"/>
      <c r="L27" s="1887" t="s">
        <v>311</v>
      </c>
      <c r="M27" s="1998"/>
      <c r="N27" s="322"/>
      <c r="O27" s="1649"/>
      <c r="P27" s="1649"/>
    </row>
    <row s="1660" customFormat="1" customHeight="1" ht="18.75" hidden="1">
      <c r="A28" s="1805"/>
      <c r="B28" s="1805"/>
      <c r="C28" s="361" t="s">
        <v>1058</v>
      </c>
      <c r="D28" s="2293"/>
      <c r="E28" s="2294"/>
      <c r="F28" s="2295"/>
      <c r="G28" s="2248"/>
      <c r="H28" s="1517"/>
      <c r="I28" s="646" t="s">
        <v>1059</v>
      </c>
      <c r="J28" s="567"/>
      <c r="K28" s="1517"/>
      <c r="L28" s="193"/>
      <c r="M28" s="1998"/>
      <c r="N28" s="322"/>
      <c r="O28" s="1649"/>
      <c r="P28" s="1649"/>
    </row>
    <row s="1660" customFormat="1" customHeight="1" ht="18.75">
      <c r="A29" s="1848" t="s">
        <v>161</v>
      </c>
      <c r="B29" s="1848" t="s">
        <v>171</v>
      </c>
      <c r="C29" s="1712"/>
      <c r="D29" s="332"/>
      <c r="E29" s="1026"/>
      <c r="F29" s="1026"/>
      <c r="G29" s="2248" t="str">
        <f>INDEX(PT_DIFFERENTIATION_NTAR,MATCH(B29,PT_DIFFERENTIATION_NTAR_ID,0))</f>
        <v>Тарифы на тепловую энергию, поставляемую обществом с ограниченной ответственностью "ПРОМ ИМПУЛЬС" на коллекторах источников тепловой энергии потребителям, расположенным на территории Санкт-Петербурга</v>
      </c>
      <c r="H29" s="2066"/>
      <c r="I29" s="1763"/>
      <c r="J29" s="1798"/>
      <c r="K29" s="1890"/>
      <c r="L29" s="2066" t="s">
        <v>311</v>
      </c>
      <c r="M29" s="1900"/>
      <c r="N29" s="614"/>
      <c r="O29" s="1649"/>
      <c r="P29" s="1649"/>
      <c r="Q29" s="1660"/>
      <c r="R29" s="1660"/>
      <c r="S29" s="1660"/>
      <c r="T29" s="1660"/>
      <c r="U29" s="1660"/>
      <c r="V29" s="1660"/>
      <c r="W29" s="1660"/>
      <c r="X29" s="1660"/>
      <c r="Y29" s="1660"/>
      <c r="Z29" s="1660"/>
      <c r="AA29" s="1660"/>
      <c r="AB29" s="1660"/>
      <c r="AC29" s="1660"/>
      <c r="AD29" s="1660"/>
      <c r="AE29" s="1660"/>
      <c r="AF29" s="1660"/>
      <c r="AG29" s="1660"/>
    </row>
    <row s="1660" customFormat="1" customHeight="1" ht="18.75">
      <c r="A30" s="1848"/>
      <c r="B30" s="1848"/>
      <c r="C30" s="1712" t="s">
        <v>1058</v>
      </c>
      <c r="D30" s="332"/>
      <c r="E30" s="1026"/>
      <c r="F30" s="1026"/>
      <c r="G30" s="2248"/>
      <c r="H30" s="4058"/>
      <c r="I30" s="4059" t="s">
        <v>1059</v>
      </c>
      <c r="J30" s="4060"/>
      <c r="K30" s="4061"/>
      <c r="L30" s="4062"/>
      <c r="M30" s="1900"/>
      <c r="N30" s="614"/>
      <c r="O30" s="1649"/>
      <c r="P30" s="1649"/>
      <c r="Q30" s="1660"/>
      <c r="R30" s="1660"/>
      <c r="S30" s="1660"/>
      <c r="T30" s="1660"/>
      <c r="U30" s="1660"/>
      <c r="V30" s="1660"/>
      <c r="W30" s="1660"/>
      <c r="X30" s="1660"/>
      <c r="Y30" s="1660"/>
      <c r="Z30" s="1660"/>
      <c r="AA30" s="1660"/>
      <c r="AB30" s="1660"/>
      <c r="AC30" s="1660"/>
      <c r="AD30" s="1660"/>
      <c r="AE30" s="1660"/>
      <c r="AF30" s="1660"/>
      <c r="AG30" s="1660"/>
    </row>
    <row s="1660" customFormat="1" customHeight="1" ht="18.75">
      <c r="A31" s="1848" t="s">
        <v>161</v>
      </c>
      <c r="B31" s="1848" t="s">
        <v>176</v>
      </c>
      <c r="C31" s="1712"/>
      <c r="D31" s="332"/>
      <c r="E31" s="1026"/>
      <c r="F31" s="1026"/>
      <c r="G31" s="2248" t="str">
        <f>INDEX(PT_DIFFERENTIATION_NTAR,MATCH(B31,PT_DIFFERENTIATION_NTAR_ID,0))</f>
        <v>Льготный тариф на тепловую энергию</v>
      </c>
      <c r="H31" s="2066"/>
      <c r="I31" s="1763"/>
      <c r="J31" s="1798"/>
      <c r="K31" s="1890"/>
      <c r="L31" s="2066" t="s">
        <v>311</v>
      </c>
      <c r="M31" s="1900"/>
      <c r="N31" s="614"/>
      <c r="O31" s="1649"/>
      <c r="P31" s="1649"/>
      <c r="Q31" s="1660"/>
      <c r="R31" s="1660"/>
      <c r="S31" s="1660"/>
      <c r="T31" s="1660"/>
      <c r="U31" s="1660"/>
      <c r="V31" s="1660"/>
      <c r="W31" s="1660"/>
      <c r="X31" s="1660"/>
      <c r="Y31" s="1660"/>
      <c r="Z31" s="1660"/>
      <c r="AA31" s="1660"/>
      <c r="AB31" s="1660"/>
      <c r="AC31" s="1660"/>
      <c r="AD31" s="1660"/>
      <c r="AE31" s="1660"/>
      <c r="AF31" s="1660"/>
      <c r="AG31" s="1660"/>
    </row>
    <row s="1660" customFormat="1" customHeight="1" ht="18.75">
      <c r="A32" s="1848"/>
      <c r="B32" s="1848"/>
      <c r="C32" s="1712" t="s">
        <v>1058</v>
      </c>
      <c r="D32" s="332"/>
      <c r="E32" s="1026"/>
      <c r="F32" s="1026"/>
      <c r="G32" s="2248"/>
      <c r="H32" s="4063"/>
      <c r="I32" s="4064" t="s">
        <v>1059</v>
      </c>
      <c r="J32" s="4065"/>
      <c r="K32" s="4066"/>
      <c r="L32" s="4067"/>
      <c r="M32" s="1900"/>
      <c r="N32" s="614"/>
      <c r="O32" s="1649"/>
      <c r="P32" s="1649"/>
      <c r="Q32" s="1660"/>
      <c r="R32" s="1660"/>
      <c r="S32" s="1660"/>
      <c r="T32" s="1660"/>
      <c r="U32" s="1660"/>
      <c r="V32" s="1660"/>
      <c r="W32" s="1660"/>
      <c r="X32" s="1660"/>
      <c r="Y32" s="1660"/>
      <c r="Z32" s="1660"/>
      <c r="AA32" s="1660"/>
      <c r="AB32" s="1660"/>
      <c r="AC32" s="1660"/>
      <c r="AD32" s="1660"/>
      <c r="AE32" s="1660"/>
      <c r="AF32" s="1660"/>
      <c r="AG32" s="1660"/>
    </row>
    <row s="1660" customFormat="1" customHeight="1" ht="0.75" hidden="1">
      <c r="A33" s="1805"/>
      <c r="B33" s="1805"/>
      <c r="C33" s="361" t="s">
        <v>1064</v>
      </c>
      <c r="D33" s="2293"/>
      <c r="E33" s="2038"/>
      <c r="F33" s="2202"/>
      <c r="G33" s="397"/>
      <c r="H33" s="1517"/>
      <c r="I33" s="646"/>
      <c r="J33" s="567"/>
      <c r="K33" s="1517"/>
      <c r="L33" s="193"/>
      <c r="M33" s="1998"/>
      <c r="N33" s="322"/>
      <c r="O33" s="1649"/>
      <c r="P33" s="1649"/>
    </row>
    <row s="1660" customFormat="1" customHeight="1" ht="45" hidden="1">
      <c r="A34" s="1805" t="s">
        <v>184</v>
      </c>
      <c r="B34" s="1805" t="s">
        <v>185</v>
      </c>
      <c r="C34" s="361"/>
      <c r="D34" s="2293"/>
      <c r="E34" s="2038"/>
      <c r="F34" s="2202" t="str">
        <f>INDEX(PT_DIFFERENTIATION_VTAR,MATCH(A34,PT_DIFFERENTIATION_VTAR_ID,0))</f>
        <v>Тарифы на теплоноситель, поставляемый теплоснабжающими организациями потребителям, другим теплоснабжающим организациям</v>
      </c>
      <c r="G34" s="2248" t="str">
        <f>INDEX(PT_DIFFERENTIATION_NTAR,MATCH(B34,PT_DIFFERENTIATION_NTAR_ID,0))</f>
        <v>Тариф на теплоноситель, поставляемый обществом с ограниченной ответственностью "ПРОМ ИМПУЛЬС" потребителям, расположенным на территории Санкт-Петербурга</v>
      </c>
      <c r="H34" s="1887"/>
      <c r="I34" s="1763"/>
      <c r="J34" s="1798"/>
      <c r="K34" s="1890"/>
      <c r="L34" s="1887" t="s">
        <v>311</v>
      </c>
      <c r="M34" s="1998"/>
      <c r="N34" s="322"/>
      <c r="O34" s="1649"/>
      <c r="P34" s="1649"/>
    </row>
    <row s="1660" customFormat="1" customHeight="1" ht="18.75" hidden="1">
      <c r="A35" s="1805"/>
      <c r="B35" s="1805"/>
      <c r="C35" s="361" t="s">
        <v>1058</v>
      </c>
      <c r="D35" s="2293"/>
      <c r="E35" s="2038"/>
      <c r="F35" s="2202"/>
      <c r="G35" s="2248"/>
      <c r="H35" s="1517"/>
      <c r="I35" s="646" t="s">
        <v>1059</v>
      </c>
      <c r="J35" s="567"/>
      <c r="K35" s="1517"/>
      <c r="L35" s="193"/>
      <c r="M35" s="1998"/>
      <c r="N35" s="322"/>
      <c r="O35" s="1649"/>
      <c r="P35" s="1649"/>
    </row>
    <row s="1660" customFormat="1" customHeight="1" ht="0.75" hidden="1">
      <c r="A36" s="1805"/>
      <c r="B36" s="1805"/>
      <c r="C36" s="361" t="s">
        <v>1064</v>
      </c>
      <c r="D36" s="2293"/>
      <c r="E36" s="2038"/>
      <c r="F36" s="2202"/>
      <c r="G36" s="397"/>
      <c r="H36" s="1517"/>
      <c r="I36" s="646"/>
      <c r="J36" s="567"/>
      <c r="K36" s="1517"/>
      <c r="L36" s="193"/>
      <c r="M36" s="1998"/>
      <c r="N36" s="322"/>
      <c r="O36" s="1649"/>
      <c r="P36" s="1649"/>
    </row>
    <row s="1660" customFormat="1" customHeight="1" ht="45" hidden="1">
      <c r="A37" s="1805" t="s">
        <v>192</v>
      </c>
      <c r="B37" s="1805" t="s">
        <v>193</v>
      </c>
      <c r="C37" s="361"/>
      <c r="D37" s="2293"/>
      <c r="E37" s="2038"/>
      <c r="F37" s="2202" t="str">
        <f>INDEX(PT_DIFFERENTIATION_VTAR,MATCH(A37,PT_DIFFERENTIATION_VTAR_ID,0))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7" s="2248" t="str">
        <f>INDEX(PT_DIFFERENTIATION_NTAR,MATCH(B37,PT_DIFFERENTIATION_NTAR_ID,0))</f>
        <v>Тариф на горячую воду (горячее водоснабжение), поставляемую обществом с ограниченной ответственностью "ПРОМ ИМПУЛЬС" в открытых системах теплоснабжения потребителям, расположенным на территории Санкт-Петербурга</v>
      </c>
      <c r="H37" s="1887"/>
      <c r="I37" s="1763"/>
      <c r="J37" s="1798"/>
      <c r="K37" s="1890"/>
      <c r="L37" s="1887" t="s">
        <v>311</v>
      </c>
      <c r="M37" s="1998"/>
      <c r="N37" s="322"/>
      <c r="O37" s="1649"/>
      <c r="P37" s="1649"/>
    </row>
    <row s="1660" customFormat="1" customHeight="1" ht="18.75" hidden="1">
      <c r="A38" s="1805"/>
      <c r="B38" s="1805"/>
      <c r="C38" s="361" t="s">
        <v>1058</v>
      </c>
      <c r="D38" s="2293"/>
      <c r="E38" s="2038"/>
      <c r="F38" s="2202"/>
      <c r="G38" s="2248"/>
      <c r="H38" s="1517"/>
      <c r="I38" s="646" t="s">
        <v>1059</v>
      </c>
      <c r="J38" s="567"/>
      <c r="K38" s="1517"/>
      <c r="L38" s="193"/>
      <c r="M38" s="1998"/>
      <c r="N38" s="322"/>
      <c r="O38" s="1649"/>
      <c r="P38" s="1649"/>
    </row>
    <row s="1660" customFormat="1" customHeight="1" ht="0.75" hidden="1">
      <c r="A39" s="1805"/>
      <c r="B39" s="1805"/>
      <c r="C39" s="361" t="s">
        <v>1064</v>
      </c>
      <c r="D39" s="2293"/>
      <c r="E39" s="2038"/>
      <c r="F39" s="2202"/>
      <c r="G39" s="397"/>
      <c r="H39" s="1517"/>
      <c r="I39" s="646"/>
      <c r="J39" s="567"/>
      <c r="K39" s="1517"/>
      <c r="L39" s="193"/>
      <c r="M39" s="1998"/>
      <c r="N39" s="322"/>
      <c r="O39" s="1649"/>
      <c r="P39" s="1649"/>
    </row>
    <row s="1660" customFormat="1" customHeight="1" ht="18.75" hidden="1">
      <c r="A40" s="1805" t="s">
        <v>198</v>
      </c>
      <c r="B40" s="1805" t="s">
        <v>199</v>
      </c>
      <c r="C40" s="361"/>
      <c r="D40" s="2293"/>
      <c r="E40" s="2038"/>
      <c r="F40" s="2202" t="str">
        <f>INDEX(PT_DIFFERENTIATION_VTAR,MATCH(A40,PT_DIFFERENTIATION_VTAR_ID,0))</f>
        <v>Тарифы на услуги по передаче тепловой энергии</v>
      </c>
      <c r="G40" s="2248" t="str">
        <f>INDEX(PT_DIFFERENTIATION_NTAR,MATCH(B40,PT_DIFFERENTIATION_NTAR_ID,0))</f>
        <v/>
      </c>
      <c r="H40" s="1887"/>
      <c r="I40" s="1763"/>
      <c r="J40" s="1798"/>
      <c r="K40" s="1890"/>
      <c r="L40" s="1887" t="s">
        <v>311</v>
      </c>
      <c r="M40" s="1998"/>
      <c r="N40" s="322"/>
      <c r="O40" s="1649"/>
      <c r="P40" s="1649"/>
    </row>
    <row s="1660" customFormat="1" customHeight="1" ht="18.75" hidden="1">
      <c r="A41" s="1805"/>
      <c r="B41" s="1805"/>
      <c r="C41" s="361" t="s">
        <v>1058</v>
      </c>
      <c r="D41" s="2293"/>
      <c r="E41" s="2038"/>
      <c r="F41" s="2202"/>
      <c r="G41" s="2248"/>
      <c r="H41" s="1517"/>
      <c r="I41" s="646" t="s">
        <v>1059</v>
      </c>
      <c r="J41" s="567"/>
      <c r="K41" s="1517"/>
      <c r="L41" s="193"/>
      <c r="M41" s="1998"/>
      <c r="N41" s="322"/>
      <c r="O41" s="1649"/>
      <c r="P41" s="1649"/>
    </row>
    <row s="1660" customFormat="1" customHeight="1" ht="0.75" hidden="1">
      <c r="A42" s="1805"/>
      <c r="B42" s="1805"/>
      <c r="C42" s="361" t="s">
        <v>1064</v>
      </c>
      <c r="D42" s="2293"/>
      <c r="E42" s="2038"/>
      <c r="F42" s="2202"/>
      <c r="G42" s="397"/>
      <c r="H42" s="1517"/>
      <c r="I42" s="646"/>
      <c r="J42" s="567"/>
      <c r="K42" s="1517"/>
      <c r="L42" s="193"/>
      <c r="M42" s="1998"/>
      <c r="N42" s="322"/>
      <c r="O42" s="1649"/>
      <c r="P42" s="1649"/>
    </row>
    <row s="1660" customFormat="1" customHeight="1" ht="18.75" hidden="1">
      <c r="A43" s="1805" t="s">
        <v>204</v>
      </c>
      <c r="B43" s="1805" t="s">
        <v>205</v>
      </c>
      <c r="C43" s="361"/>
      <c r="D43" s="2293"/>
      <c r="E43" s="2038"/>
      <c r="F43" s="2202" t="str">
        <f>INDEX(PT_DIFFERENTIATION_VTAR,MATCH(A43,PT_DIFFERENTIATION_VTAR_ID,0))</f>
        <v>Тарифы на услуги по передаче теплоносителя</v>
      </c>
      <c r="G43" s="2248" t="str">
        <f>INDEX(PT_DIFFERENTIATION_NTAR,MATCH(B43,PT_DIFFERENTIATION_NTAR_ID,0))</f>
        <v/>
      </c>
      <c r="H43" s="1887"/>
      <c r="I43" s="1763"/>
      <c r="J43" s="1798"/>
      <c r="K43" s="1890"/>
      <c r="L43" s="1887" t="s">
        <v>311</v>
      </c>
      <c r="M43" s="1998"/>
      <c r="N43" s="322"/>
      <c r="O43" s="1649"/>
      <c r="P43" s="1649"/>
    </row>
    <row s="1660" customFormat="1" customHeight="1" ht="18.75" hidden="1">
      <c r="A44" s="1805"/>
      <c r="B44" s="1805"/>
      <c r="C44" s="361" t="s">
        <v>1058</v>
      </c>
      <c r="D44" s="2293"/>
      <c r="E44" s="2038"/>
      <c r="F44" s="2202"/>
      <c r="G44" s="2248"/>
      <c r="H44" s="1517"/>
      <c r="I44" s="646" t="s">
        <v>1059</v>
      </c>
      <c r="J44" s="567"/>
      <c r="K44" s="1517"/>
      <c r="L44" s="193"/>
      <c r="M44" s="1998"/>
      <c r="N44" s="322"/>
      <c r="O44" s="1649"/>
      <c r="P44" s="1649"/>
    </row>
    <row s="1660" customFormat="1" customHeight="1" ht="0.75" hidden="1">
      <c r="A45" s="1805"/>
      <c r="B45" s="1805"/>
      <c r="C45" s="361" t="s">
        <v>1064</v>
      </c>
      <c r="D45" s="2293"/>
      <c r="E45" s="2038"/>
      <c r="F45" s="2202"/>
      <c r="G45" s="397"/>
      <c r="H45" s="1517"/>
      <c r="I45" s="646"/>
      <c r="J45" s="567"/>
      <c r="K45" s="1517"/>
      <c r="L45" s="193"/>
      <c r="M45" s="1998"/>
      <c r="N45" s="322"/>
      <c r="O45" s="1649"/>
      <c r="P45" s="1649"/>
    </row>
    <row s="1660" customFormat="1" customHeight="1" ht="18.75" hidden="1">
      <c r="A46" s="1805" t="s">
        <v>210</v>
      </c>
      <c r="B46" s="1805" t="s">
        <v>211</v>
      </c>
      <c r="C46" s="361"/>
      <c r="D46" s="2293"/>
      <c r="E46" s="2038"/>
      <c r="F46" s="2202" t="str">
        <f>INDEX(PT_DIFFERENTIATION_VTAR,MATCH(A46,PT_DIFFERENTIATION_VTAR_ID,0))</f>
        <v>Плата за услуги по поддержанию резервной тепловой мощности при отсутствии потребления тепловой энергии</v>
      </c>
      <c r="G46" s="2248" t="str">
        <f>INDEX(PT_DIFFERENTIATION_NTAR,MATCH(B46,PT_DIFFERENTIATION_NTAR_ID,0))</f>
        <v/>
      </c>
      <c r="H46" s="1887"/>
      <c r="I46" s="1763"/>
      <c r="J46" s="1798"/>
      <c r="K46" s="1890"/>
      <c r="L46" s="1887" t="s">
        <v>311</v>
      </c>
      <c r="M46" s="1998"/>
      <c r="N46" s="322"/>
      <c r="O46" s="1649"/>
      <c r="P46" s="1649"/>
    </row>
    <row s="1660" customFormat="1" customHeight="1" ht="18.75" hidden="1">
      <c r="A47" s="1805"/>
      <c r="B47" s="1805"/>
      <c r="C47" s="361" t="s">
        <v>1058</v>
      </c>
      <c r="D47" s="2293"/>
      <c r="E47" s="2038"/>
      <c r="F47" s="2202"/>
      <c r="G47" s="2248"/>
      <c r="H47" s="1517"/>
      <c r="I47" s="646" t="s">
        <v>1059</v>
      </c>
      <c r="J47" s="567"/>
      <c r="K47" s="1517"/>
      <c r="L47" s="193"/>
      <c r="M47" s="1998"/>
      <c r="N47" s="322"/>
      <c r="O47" s="1649"/>
      <c r="P47" s="1649"/>
    </row>
    <row s="1660" customFormat="1" customHeight="1" ht="0.75" hidden="1">
      <c r="A48" s="1805"/>
      <c r="B48" s="1805"/>
      <c r="C48" s="361" t="s">
        <v>1064</v>
      </c>
      <c r="D48" s="2293"/>
      <c r="E48" s="2038"/>
      <c r="F48" s="2202"/>
      <c r="G48" s="397"/>
      <c r="H48" s="1517"/>
      <c r="I48" s="646"/>
      <c r="J48" s="567"/>
      <c r="K48" s="1517"/>
      <c r="L48" s="193"/>
      <c r="M48" s="1998"/>
      <c r="N48" s="322"/>
      <c r="O48" s="1649"/>
      <c r="P48" s="1649"/>
    </row>
    <row s="1660" customFormat="1" customHeight="1" ht="18.75" hidden="1">
      <c r="A49" s="1805" t="s">
        <v>216</v>
      </c>
      <c r="B49" s="1805" t="s">
        <v>217</v>
      </c>
      <c r="C49" s="361"/>
      <c r="D49" s="2293"/>
      <c r="E49" s="2038"/>
      <c r="F49" s="2202" t="str">
        <f>INDEX(PT_DIFFERENTIATION_VTAR,MATCH(A49,PT_DIFFERENTIATION_VTAR_ID,0))</f>
        <v>Плата за подключение (технологическое присоединение) к системе теплоснабжения</v>
      </c>
      <c r="G49" s="2248" t="str">
        <f>INDEX(PT_DIFFERENTIATION_NTAR,MATCH(B49,PT_DIFFERENTIATION_NTAR_ID,0))</f>
        <v/>
      </c>
      <c r="H49" s="1887"/>
      <c r="I49" s="1763"/>
      <c r="J49" s="1798"/>
      <c r="K49" s="1890"/>
      <c r="L49" s="1887" t="s">
        <v>311</v>
      </c>
      <c r="M49" s="1998"/>
      <c r="N49" s="322"/>
      <c r="O49" s="1649"/>
      <c r="P49" s="1649"/>
    </row>
    <row s="1660" customFormat="1" customHeight="1" ht="18.75" hidden="1">
      <c r="A50" s="1805"/>
      <c r="B50" s="1805"/>
      <c r="C50" s="361" t="s">
        <v>1058</v>
      </c>
      <c r="D50" s="2293"/>
      <c r="E50" s="2038"/>
      <c r="F50" s="2202"/>
      <c r="G50" s="2248"/>
      <c r="H50" s="1517"/>
      <c r="I50" s="646" t="s">
        <v>1059</v>
      </c>
      <c r="J50" s="567"/>
      <c r="K50" s="1517"/>
      <c r="L50" s="193"/>
      <c r="M50" s="1998"/>
      <c r="N50" s="322"/>
      <c r="O50" s="1649"/>
      <c r="P50" s="1649"/>
    </row>
    <row s="1660" customFormat="1" customHeight="1" ht="0.75" hidden="1">
      <c r="A51" s="1805"/>
      <c r="B51" s="1805"/>
      <c r="C51" s="361" t="s">
        <v>1064</v>
      </c>
      <c r="D51" s="2293"/>
      <c r="E51" s="2038"/>
      <c r="F51" s="2202"/>
      <c r="G51" s="397"/>
      <c r="H51" s="1517"/>
      <c r="I51" s="646"/>
      <c r="J51" s="567"/>
      <c r="K51" s="1517"/>
      <c r="L51" s="193"/>
      <c r="M51" s="1998"/>
      <c r="N51" s="322"/>
      <c r="O51" s="1649"/>
      <c r="P51" s="1649"/>
    </row>
    <row s="1660" customFormat="1" customHeight="1" ht="18.75" hidden="1">
      <c r="A52" s="1805" t="s">
        <v>230</v>
      </c>
      <c r="B52" s="1805" t="s">
        <v>231</v>
      </c>
      <c r="C52" s="361"/>
      <c r="D52" s="2293"/>
      <c r="E52" s="2038"/>
      <c r="F52" s="2202" t="str">
        <f>INDEX(PT_DIFFERENTIATION_VTAR,MATCH(A52,PT_DIFFERENTIATION_VTAR_ID,0))</f>
        <v>Тариф на питьевую воду (питьевое водоснабжение)</v>
      </c>
      <c r="G52" s="2248" t="str">
        <f>INDEX(PT_DIFFERENTIATION_NTAR,MATCH(B52,PT_DIFFERENTIATION_NTAR_ID,0))</f>
        <v/>
      </c>
      <c r="H52" s="1887"/>
      <c r="I52" s="1763"/>
      <c r="J52" s="1798"/>
      <c r="K52" s="1890"/>
      <c r="L52" s="1887" t="s">
        <v>311</v>
      </c>
      <c r="M52" s="1998"/>
      <c r="N52" s="322"/>
      <c r="O52" s="1649"/>
      <c r="P52" s="1649"/>
    </row>
    <row s="1660" customFormat="1" customHeight="1" ht="18.75" hidden="1">
      <c r="A53" s="1805"/>
      <c r="B53" s="1805"/>
      <c r="C53" s="361" t="s">
        <v>1058</v>
      </c>
      <c r="D53" s="2293"/>
      <c r="E53" s="2038"/>
      <c r="F53" s="2202"/>
      <c r="G53" s="2248"/>
      <c r="H53" s="1517"/>
      <c r="I53" s="646" t="s">
        <v>1059</v>
      </c>
      <c r="J53" s="567"/>
      <c r="K53" s="1517"/>
      <c r="L53" s="193"/>
      <c r="M53" s="1998"/>
      <c r="N53" s="322"/>
      <c r="O53" s="1649"/>
      <c r="P53" s="1649"/>
    </row>
    <row s="1660" customFormat="1" customHeight="1" ht="0.75" hidden="1">
      <c r="A54" s="1805"/>
      <c r="B54" s="1805"/>
      <c r="C54" s="361" t="s">
        <v>1064</v>
      </c>
      <c r="D54" s="2293"/>
      <c r="E54" s="2038"/>
      <c r="F54" s="2202"/>
      <c r="G54" s="397"/>
      <c r="H54" s="1517"/>
      <c r="I54" s="646"/>
      <c r="J54" s="567"/>
      <c r="K54" s="1517"/>
      <c r="L54" s="193"/>
      <c r="M54" s="1998"/>
      <c r="N54" s="322"/>
      <c r="O54" s="1649"/>
      <c r="P54" s="1649"/>
    </row>
    <row s="1660" customFormat="1" customHeight="1" ht="18.75" hidden="1">
      <c r="A55" s="1805" t="s">
        <v>235</v>
      </c>
      <c r="B55" s="1805" t="s">
        <v>236</v>
      </c>
      <c r="C55" s="361"/>
      <c r="D55" s="2293"/>
      <c r="E55" s="2038"/>
      <c r="F55" s="2202" t="str">
        <f>INDEX(PT_DIFFERENTIATION_VTAR,MATCH(A55,PT_DIFFERENTIATION_VTAR_ID,0))</f>
        <v>Тариф на техническую воду</v>
      </c>
      <c r="G55" s="2248" t="str">
        <f>INDEX(PT_DIFFERENTIATION_NTAR,MATCH(B55,PT_DIFFERENTIATION_NTAR_ID,0))</f>
        <v/>
      </c>
      <c r="H55" s="1887"/>
      <c r="I55" s="1763"/>
      <c r="J55" s="1798"/>
      <c r="K55" s="1890"/>
      <c r="L55" s="1887" t="s">
        <v>311</v>
      </c>
      <c r="M55" s="1998"/>
      <c r="N55" s="322"/>
      <c r="O55" s="1649"/>
      <c r="P55" s="1649"/>
    </row>
    <row s="1660" customFormat="1" customHeight="1" ht="18.75" hidden="1">
      <c r="A56" s="1805"/>
      <c r="B56" s="1805"/>
      <c r="C56" s="361" t="s">
        <v>1058</v>
      </c>
      <c r="D56" s="2293"/>
      <c r="E56" s="2038"/>
      <c r="F56" s="2202"/>
      <c r="G56" s="2248"/>
      <c r="H56" s="1517"/>
      <c r="I56" s="646" t="s">
        <v>1059</v>
      </c>
      <c r="J56" s="567"/>
      <c r="K56" s="1517"/>
      <c r="L56" s="193"/>
      <c r="M56" s="1998"/>
      <c r="N56" s="322"/>
      <c r="O56" s="1649"/>
      <c r="P56" s="1649"/>
    </row>
    <row s="1660" customFormat="1" customHeight="1" ht="0.75" hidden="1">
      <c r="A57" s="1805"/>
      <c r="B57" s="1805"/>
      <c r="C57" s="361" t="s">
        <v>1064</v>
      </c>
      <c r="D57" s="2293"/>
      <c r="E57" s="2038"/>
      <c r="F57" s="2202"/>
      <c r="G57" s="397"/>
      <c r="H57" s="1517"/>
      <c r="I57" s="646"/>
      <c r="J57" s="567"/>
      <c r="K57" s="1517"/>
      <c r="L57" s="193"/>
      <c r="M57" s="1998"/>
      <c r="N57" s="322"/>
      <c r="O57" s="1649"/>
      <c r="P57" s="1649"/>
    </row>
    <row s="1660" customFormat="1" customHeight="1" ht="18.75" hidden="1">
      <c r="A58" s="1805" t="s">
        <v>240</v>
      </c>
      <c r="B58" s="1805" t="s">
        <v>241</v>
      </c>
      <c r="C58" s="361"/>
      <c r="D58" s="2293"/>
      <c r="E58" s="2038"/>
      <c r="F58" s="2202" t="str">
        <f>INDEX(PT_DIFFERENTIATION_VTAR,MATCH(A58,PT_DIFFERENTIATION_VTAR_ID,0))</f>
        <v>Тариф на транспортировку воды</v>
      </c>
      <c r="G58" s="2248" t="str">
        <f>INDEX(PT_DIFFERENTIATION_NTAR,MATCH(B58,PT_DIFFERENTIATION_NTAR_ID,0))</f>
        <v/>
      </c>
      <c r="H58" s="1887"/>
      <c r="I58" s="1763"/>
      <c r="J58" s="1798"/>
      <c r="K58" s="1890"/>
      <c r="L58" s="1887" t="s">
        <v>311</v>
      </c>
      <c r="M58" s="1998"/>
      <c r="N58" s="322"/>
      <c r="O58" s="1649"/>
      <c r="P58" s="1649"/>
    </row>
    <row s="1660" customFormat="1" customHeight="1" ht="18.75" hidden="1">
      <c r="A59" s="1805"/>
      <c r="B59" s="1805"/>
      <c r="C59" s="361" t="s">
        <v>1058</v>
      </c>
      <c r="D59" s="2293"/>
      <c r="E59" s="2038"/>
      <c r="F59" s="2202"/>
      <c r="G59" s="2248"/>
      <c r="H59" s="1517"/>
      <c r="I59" s="646" t="s">
        <v>1059</v>
      </c>
      <c r="J59" s="567"/>
      <c r="K59" s="1517"/>
      <c r="L59" s="193"/>
      <c r="M59" s="1998"/>
      <c r="N59" s="322"/>
      <c r="O59" s="1649"/>
      <c r="P59" s="1649"/>
    </row>
    <row s="1660" customFormat="1" customHeight="1" ht="0.75" hidden="1">
      <c r="A60" s="1805"/>
      <c r="B60" s="1805"/>
      <c r="C60" s="361" t="s">
        <v>1064</v>
      </c>
      <c r="D60" s="2293"/>
      <c r="E60" s="2038"/>
      <c r="F60" s="2202"/>
      <c r="G60" s="397"/>
      <c r="H60" s="1517"/>
      <c r="I60" s="646"/>
      <c r="J60" s="567"/>
      <c r="K60" s="1517"/>
      <c r="L60" s="193"/>
      <c r="M60" s="1998"/>
      <c r="N60" s="322"/>
      <c r="O60" s="1649"/>
      <c r="P60" s="1649"/>
    </row>
    <row s="1660" customFormat="1" customHeight="1" ht="18.75" hidden="1">
      <c r="A61" s="1805" t="s">
        <v>245</v>
      </c>
      <c r="B61" s="1805" t="s">
        <v>246</v>
      </c>
      <c r="C61" s="361"/>
      <c r="D61" s="2293"/>
      <c r="E61" s="2038"/>
      <c r="F61" s="2202" t="str">
        <f>INDEX(PT_DIFFERENTIATION_VTAR,MATCH(A61,PT_DIFFERENTIATION_VTAR_ID,0))</f>
        <v>Тариф на подвоз воды</v>
      </c>
      <c r="G61" s="2248" t="str">
        <f>INDEX(PT_DIFFERENTIATION_NTAR,MATCH(B61,PT_DIFFERENTIATION_NTAR_ID,0))</f>
        <v/>
      </c>
      <c r="H61" s="1887"/>
      <c r="I61" s="1763"/>
      <c r="J61" s="1798"/>
      <c r="K61" s="1890"/>
      <c r="L61" s="1887" t="s">
        <v>311</v>
      </c>
      <c r="M61" s="1998"/>
      <c r="N61" s="322"/>
      <c r="O61" s="1649"/>
      <c r="P61" s="1649"/>
    </row>
    <row s="1660" customFormat="1" customHeight="1" ht="18.75" hidden="1">
      <c r="A62" s="1805"/>
      <c r="B62" s="1805"/>
      <c r="C62" s="361" t="s">
        <v>1058</v>
      </c>
      <c r="D62" s="2293"/>
      <c r="E62" s="2038"/>
      <c r="F62" s="2202"/>
      <c r="G62" s="2248"/>
      <c r="H62" s="1517"/>
      <c r="I62" s="646" t="s">
        <v>1059</v>
      </c>
      <c r="J62" s="567"/>
      <c r="K62" s="1517"/>
      <c r="L62" s="193"/>
      <c r="M62" s="1998"/>
      <c r="N62" s="322"/>
      <c r="O62" s="1649"/>
      <c r="P62" s="1649"/>
    </row>
    <row s="1660" customFormat="1" customHeight="1" ht="0.75" hidden="1">
      <c r="A63" s="1805"/>
      <c r="B63" s="1805"/>
      <c r="C63" s="361" t="s">
        <v>1064</v>
      </c>
      <c r="D63" s="2293"/>
      <c r="E63" s="2038"/>
      <c r="F63" s="2202"/>
      <c r="G63" s="397"/>
      <c r="H63" s="1517"/>
      <c r="I63" s="646"/>
      <c r="J63" s="567"/>
      <c r="K63" s="1517"/>
      <c r="L63" s="193"/>
      <c r="M63" s="1998"/>
      <c r="N63" s="322"/>
      <c r="O63" s="1649"/>
      <c r="P63" s="1649"/>
    </row>
    <row s="1660" customFormat="1" customHeight="1" ht="18.75" hidden="1">
      <c r="A64" s="1805" t="s">
        <v>250</v>
      </c>
      <c r="B64" s="1805" t="s">
        <v>251</v>
      </c>
      <c r="C64" s="361"/>
      <c r="D64" s="2293"/>
      <c r="E64" s="2038"/>
      <c r="F64" s="2202" t="str">
        <f>INDEX(PT_DIFFERENTIATION_VTAR,MATCH(A64,PT_DIFFERENTIATION_VTAR_ID,0))</f>
        <v>Тариф на подключение (технологическое присоединение) к централизованной системе холодного водоснабжения</v>
      </c>
      <c r="G64" s="2248" t="str">
        <f>INDEX(PT_DIFFERENTIATION_NTAR,MATCH(B64,PT_DIFFERENTIATION_NTAR_ID,0))</f>
        <v/>
      </c>
      <c r="H64" s="1887"/>
      <c r="I64" s="1763"/>
      <c r="J64" s="1798"/>
      <c r="K64" s="1890"/>
      <c r="L64" s="1887" t="s">
        <v>311</v>
      </c>
      <c r="M64" s="1998"/>
      <c r="N64" s="322"/>
      <c r="O64" s="1649"/>
      <c r="P64" s="1649"/>
    </row>
    <row s="1660" customFormat="1" customHeight="1" ht="18.75" hidden="1">
      <c r="A65" s="1805"/>
      <c r="B65" s="1805"/>
      <c r="C65" s="361" t="s">
        <v>1058</v>
      </c>
      <c r="D65" s="2293"/>
      <c r="E65" s="2038"/>
      <c r="F65" s="2202"/>
      <c r="G65" s="2248"/>
      <c r="H65" s="1517"/>
      <c r="I65" s="646" t="s">
        <v>1059</v>
      </c>
      <c r="J65" s="567"/>
      <c r="K65" s="1517"/>
      <c r="L65" s="193"/>
      <c r="M65" s="1998"/>
      <c r="N65" s="322"/>
      <c r="O65" s="1649"/>
      <c r="P65" s="1649"/>
    </row>
    <row s="1660" customFormat="1" customHeight="1" ht="0.75" hidden="1">
      <c r="A66" s="1805"/>
      <c r="B66" s="1805"/>
      <c r="C66" s="361" t="s">
        <v>1064</v>
      </c>
      <c r="D66" s="2293"/>
      <c r="E66" s="2038"/>
      <c r="F66" s="2202"/>
      <c r="G66" s="397"/>
      <c r="H66" s="1517"/>
      <c r="I66" s="646"/>
      <c r="J66" s="567"/>
      <c r="K66" s="1517"/>
      <c r="L66" s="193"/>
      <c r="M66" s="1998"/>
      <c r="N66" s="322"/>
      <c r="O66" s="1649"/>
      <c r="P66" s="1649"/>
    </row>
    <row s="1660" customFormat="1" customHeight="1" ht="18.75" hidden="1">
      <c r="A67" s="1805" t="s">
        <v>255</v>
      </c>
      <c r="B67" s="1805" t="s">
        <v>256</v>
      </c>
      <c r="C67" s="361"/>
      <c r="D67" s="2293"/>
      <c r="E67" s="2038"/>
      <c r="F67" s="2202" t="str">
        <f>INDEX(PT_DIFFERENTIATION_VTAR,MATCH(A67,PT_DIFFERENTIATION_VTAR_ID,0))</f>
        <v>Тариф на горячую воду (горячее водоснабжение)</v>
      </c>
      <c r="G67" s="2248" t="str">
        <f>INDEX(PT_DIFFERENTIATION_NTAR,MATCH(B67,PT_DIFFERENTIATION_NTAR_ID,0))</f>
        <v/>
      </c>
      <c r="H67" s="1887"/>
      <c r="I67" s="1763"/>
      <c r="J67" s="1798"/>
      <c r="K67" s="1890"/>
      <c r="L67" s="1887" t="s">
        <v>311</v>
      </c>
      <c r="M67" s="1998"/>
      <c r="N67" s="322"/>
      <c r="O67" s="1649"/>
      <c r="P67" s="1649"/>
    </row>
    <row s="1660" customFormat="1" customHeight="1" ht="18.75" hidden="1">
      <c r="A68" s="1805"/>
      <c r="B68" s="1805"/>
      <c r="C68" s="361" t="s">
        <v>1058</v>
      </c>
      <c r="D68" s="2293"/>
      <c r="E68" s="2038"/>
      <c r="F68" s="2202"/>
      <c r="G68" s="2248"/>
      <c r="H68" s="1517"/>
      <c r="I68" s="646" t="s">
        <v>1059</v>
      </c>
      <c r="J68" s="567"/>
      <c r="K68" s="1517"/>
      <c r="L68" s="193"/>
      <c r="M68" s="1998"/>
      <c r="N68" s="322"/>
      <c r="O68" s="1649"/>
      <c r="P68" s="1649"/>
    </row>
    <row s="1660" customFormat="1" customHeight="1" ht="0.75" hidden="1">
      <c r="A69" s="1805"/>
      <c r="B69" s="1805"/>
      <c r="C69" s="361" t="s">
        <v>1064</v>
      </c>
      <c r="D69" s="2293"/>
      <c r="E69" s="2038"/>
      <c r="F69" s="2202"/>
      <c r="G69" s="397"/>
      <c r="H69" s="1517"/>
      <c r="I69" s="646"/>
      <c r="J69" s="567"/>
      <c r="K69" s="1517"/>
      <c r="L69" s="193"/>
      <c r="M69" s="1998"/>
      <c r="N69" s="322"/>
      <c r="O69" s="1649"/>
      <c r="P69" s="1649"/>
    </row>
    <row s="1660" customFormat="1" customHeight="1" ht="18.75" hidden="1">
      <c r="A70" s="1805" t="s">
        <v>260</v>
      </c>
      <c r="B70" s="1805" t="s">
        <v>261</v>
      </c>
      <c r="C70" s="361"/>
      <c r="D70" s="2293"/>
      <c r="E70" s="2038"/>
      <c r="F70" s="2202" t="str">
        <f>INDEX(PT_DIFFERENTIATION_VTAR,MATCH(A70,PT_DIFFERENTIATION_VTAR_ID,0))</f>
        <v>Тариф на транспортировку горячей воды</v>
      </c>
      <c r="G70" s="2248" t="str">
        <f>INDEX(PT_DIFFERENTIATION_NTAR,MATCH(B70,PT_DIFFERENTIATION_NTAR_ID,0))</f>
        <v/>
      </c>
      <c r="H70" s="1887"/>
      <c r="I70" s="1763"/>
      <c r="J70" s="1798"/>
      <c r="K70" s="1890"/>
      <c r="L70" s="1887" t="s">
        <v>311</v>
      </c>
      <c r="M70" s="1998"/>
      <c r="N70" s="322"/>
      <c r="O70" s="1649"/>
      <c r="P70" s="1649"/>
    </row>
    <row s="1660" customFormat="1" customHeight="1" ht="18.75" hidden="1">
      <c r="A71" s="1805"/>
      <c r="B71" s="1805"/>
      <c r="C71" s="361" t="s">
        <v>1058</v>
      </c>
      <c r="D71" s="2293"/>
      <c r="E71" s="2038"/>
      <c r="F71" s="2202"/>
      <c r="G71" s="2248"/>
      <c r="H71" s="1517"/>
      <c r="I71" s="646" t="s">
        <v>1059</v>
      </c>
      <c r="J71" s="567"/>
      <c r="K71" s="1517"/>
      <c r="L71" s="193"/>
      <c r="M71" s="1998"/>
      <c r="N71" s="322"/>
      <c r="O71" s="1649"/>
      <c r="P71" s="1649"/>
    </row>
    <row s="1660" customFormat="1" customHeight="1" ht="0.75" hidden="1">
      <c r="A72" s="1805"/>
      <c r="B72" s="1805"/>
      <c r="C72" s="361" t="s">
        <v>1064</v>
      </c>
      <c r="D72" s="2293"/>
      <c r="E72" s="2038"/>
      <c r="F72" s="2202"/>
      <c r="G72" s="397"/>
      <c r="H72" s="1517"/>
      <c r="I72" s="646"/>
      <c r="J72" s="567"/>
      <c r="K72" s="1517"/>
      <c r="L72" s="193"/>
      <c r="M72" s="1998"/>
      <c r="N72" s="322"/>
      <c r="O72" s="1649"/>
      <c r="P72" s="1649"/>
    </row>
    <row s="1660" customFormat="1" customHeight="1" ht="18.75" hidden="1">
      <c r="A73" s="1805" t="s">
        <v>265</v>
      </c>
      <c r="B73" s="1805" t="s">
        <v>266</v>
      </c>
      <c r="C73" s="361"/>
      <c r="D73" s="2293"/>
      <c r="E73" s="2038"/>
      <c r="F73" s="2202" t="str">
        <f>INDEX(PT_DIFFERENTIATION_VTAR,MATCH(A73,PT_DIFFERENTIATION_VTAR_ID,0))</f>
        <v>Тариф на подключение (технологическое присоединение) к централизованной системе горячего водоснабжения</v>
      </c>
      <c r="G73" s="2248" t="str">
        <f>INDEX(PT_DIFFERENTIATION_NTAR,MATCH(B73,PT_DIFFERENTIATION_NTAR_ID,0))</f>
        <v/>
      </c>
      <c r="H73" s="1887"/>
      <c r="I73" s="1763"/>
      <c r="J73" s="1798"/>
      <c r="K73" s="1890"/>
      <c r="L73" s="1887" t="s">
        <v>311</v>
      </c>
      <c r="M73" s="1998"/>
      <c r="N73" s="322"/>
      <c r="O73" s="1649"/>
      <c r="P73" s="1649"/>
    </row>
    <row s="1660" customFormat="1" customHeight="1" ht="18.75" hidden="1">
      <c r="A74" s="1805"/>
      <c r="B74" s="1805"/>
      <c r="C74" s="361" t="s">
        <v>1058</v>
      </c>
      <c r="D74" s="2293"/>
      <c r="E74" s="2038"/>
      <c r="F74" s="2202"/>
      <c r="G74" s="2248"/>
      <c r="H74" s="1517"/>
      <c r="I74" s="646" t="s">
        <v>1059</v>
      </c>
      <c r="J74" s="567"/>
      <c r="K74" s="1517"/>
      <c r="L74" s="193"/>
      <c r="M74" s="1998"/>
      <c r="N74" s="322"/>
      <c r="O74" s="1649"/>
      <c r="P74" s="1649"/>
    </row>
    <row s="1660" customFormat="1" customHeight="1" ht="0.75" hidden="1">
      <c r="A75" s="1805"/>
      <c r="B75" s="1805"/>
      <c r="C75" s="361" t="s">
        <v>1064</v>
      </c>
      <c r="D75" s="2293"/>
      <c r="E75" s="2038"/>
      <c r="F75" s="2202"/>
      <c r="G75" s="397"/>
      <c r="H75" s="1517"/>
      <c r="I75" s="646"/>
      <c r="J75" s="567"/>
      <c r="K75" s="1517"/>
      <c r="L75" s="193"/>
      <c r="M75" s="1998"/>
      <c r="N75" s="322"/>
      <c r="O75" s="1649"/>
      <c r="P75" s="1649"/>
    </row>
    <row s="1660" customFormat="1" customHeight="1" ht="18.75" hidden="1">
      <c r="A76" s="1805" t="s">
        <v>270</v>
      </c>
      <c r="B76" s="1805" t="s">
        <v>271</v>
      </c>
      <c r="C76" s="361"/>
      <c r="D76" s="2293"/>
      <c r="E76" s="2038"/>
      <c r="F76" s="2202" t="str">
        <f>INDEX(PT_DIFFERENTIATION_VTAR,MATCH(A76,PT_DIFFERENTIATION_VTAR_ID,0))</f>
        <v>Тариф на водоотведение</v>
      </c>
      <c r="G76" s="2248" t="str">
        <f>INDEX(PT_DIFFERENTIATION_NTAR,MATCH(B76,PT_DIFFERENTIATION_NTAR_ID,0))</f>
        <v/>
      </c>
      <c r="H76" s="1887"/>
      <c r="I76" s="1763"/>
      <c r="J76" s="1798"/>
      <c r="K76" s="1890"/>
      <c r="L76" s="1887" t="s">
        <v>311</v>
      </c>
      <c r="M76" s="1998"/>
      <c r="N76" s="322"/>
      <c r="O76" s="1649"/>
      <c r="P76" s="1649"/>
    </row>
    <row s="1660" customFormat="1" customHeight="1" ht="18.75" hidden="1">
      <c r="A77" s="1805"/>
      <c r="B77" s="1805"/>
      <c r="C77" s="361" t="s">
        <v>1058</v>
      </c>
      <c r="D77" s="2293"/>
      <c r="E77" s="2038"/>
      <c r="F77" s="2202"/>
      <c r="G77" s="2248"/>
      <c r="H77" s="1517"/>
      <c r="I77" s="646" t="s">
        <v>1059</v>
      </c>
      <c r="J77" s="567"/>
      <c r="K77" s="1517"/>
      <c r="L77" s="193"/>
      <c r="M77" s="1998"/>
      <c r="N77" s="322"/>
      <c r="O77" s="1649"/>
      <c r="P77" s="1649"/>
    </row>
    <row s="1660" customFormat="1" customHeight="1" ht="0.75" hidden="1">
      <c r="A78" s="1805"/>
      <c r="B78" s="1805"/>
      <c r="C78" s="361" t="s">
        <v>1064</v>
      </c>
      <c r="D78" s="2293"/>
      <c r="E78" s="2038"/>
      <c r="F78" s="2202"/>
      <c r="G78" s="397"/>
      <c r="H78" s="1517"/>
      <c r="I78" s="646"/>
      <c r="J78" s="567"/>
      <c r="K78" s="1517"/>
      <c r="L78" s="193"/>
      <c r="M78" s="1998"/>
      <c r="N78" s="322"/>
      <c r="O78" s="1649"/>
      <c r="P78" s="1649"/>
    </row>
    <row s="1660" customFormat="1" customHeight="1" ht="18.75" hidden="1">
      <c r="A79" s="1805" t="s">
        <v>275</v>
      </c>
      <c r="B79" s="1805" t="s">
        <v>276</v>
      </c>
      <c r="C79" s="361"/>
      <c r="D79" s="2293"/>
      <c r="E79" s="2038"/>
      <c r="F79" s="2202" t="str">
        <f>INDEX(PT_DIFFERENTIATION_VTAR,MATCH(A79,PT_DIFFERENTIATION_VTAR_ID,0))</f>
        <v>Тариф на транспортировку сточных вод</v>
      </c>
      <c r="G79" s="2248" t="str">
        <f>INDEX(PT_DIFFERENTIATION_NTAR,MATCH(B79,PT_DIFFERENTIATION_NTAR_ID,0))</f>
        <v/>
      </c>
      <c r="H79" s="1887"/>
      <c r="I79" s="1763"/>
      <c r="J79" s="1798"/>
      <c r="K79" s="1890"/>
      <c r="L79" s="1887" t="s">
        <v>311</v>
      </c>
      <c r="M79" s="1998"/>
      <c r="N79" s="322"/>
      <c r="O79" s="1649"/>
      <c r="P79" s="1649"/>
    </row>
    <row s="1660" customFormat="1" customHeight="1" ht="18.75" hidden="1">
      <c r="A80" s="1805"/>
      <c r="B80" s="1805"/>
      <c r="C80" s="361" t="s">
        <v>1058</v>
      </c>
      <c r="D80" s="2293"/>
      <c r="E80" s="2038"/>
      <c r="F80" s="2202"/>
      <c r="G80" s="2248"/>
      <c r="H80" s="1517"/>
      <c r="I80" s="646" t="s">
        <v>1059</v>
      </c>
      <c r="J80" s="567"/>
      <c r="K80" s="1517"/>
      <c r="L80" s="193"/>
      <c r="M80" s="1998"/>
      <c r="N80" s="322"/>
      <c r="O80" s="1649"/>
      <c r="P80" s="1649"/>
    </row>
    <row s="1660" customFormat="1" customHeight="1" ht="0.75" hidden="1">
      <c r="A81" s="1805"/>
      <c r="B81" s="1805"/>
      <c r="C81" s="361" t="s">
        <v>1064</v>
      </c>
      <c r="D81" s="2293"/>
      <c r="E81" s="2038"/>
      <c r="F81" s="2202"/>
      <c r="G81" s="397"/>
      <c r="H81" s="1517"/>
      <c r="I81" s="646"/>
      <c r="J81" s="567"/>
      <c r="K81" s="1517"/>
      <c r="L81" s="193"/>
      <c r="M81" s="1998"/>
      <c r="N81" s="322"/>
      <c r="O81" s="1649"/>
      <c r="P81" s="1649"/>
    </row>
    <row s="1660" customFormat="1" customHeight="1" ht="18.75" hidden="1">
      <c r="A82" s="1805" t="s">
        <v>280</v>
      </c>
      <c r="B82" s="1805" t="s">
        <v>281</v>
      </c>
      <c r="C82" s="361"/>
      <c r="D82" s="2293"/>
      <c r="E82" s="2038"/>
      <c r="F82" s="2202" t="str">
        <f>INDEX(PT_DIFFERENTIATION_VTAR,MATCH(A82,PT_DIFFERENTIATION_VTAR_ID,0))</f>
        <v>Тариф на подключение (технологическое присоединение) к централизованной системе водоотведения</v>
      </c>
      <c r="G82" s="2248" t="str">
        <f>INDEX(PT_DIFFERENTIATION_NTAR,MATCH(B82,PT_DIFFERENTIATION_NTAR_ID,0))</f>
        <v/>
      </c>
      <c r="H82" s="1887"/>
      <c r="I82" s="1763"/>
      <c r="J82" s="1798"/>
      <c r="K82" s="1890"/>
      <c r="L82" s="1887" t="s">
        <v>311</v>
      </c>
      <c r="M82" s="1998"/>
      <c r="N82" s="322"/>
      <c r="O82" s="1649"/>
      <c r="P82" s="1649"/>
    </row>
    <row s="1660" customFormat="1" customHeight="1" ht="18.75" hidden="1">
      <c r="A83" s="1805"/>
      <c r="B83" s="1805"/>
      <c r="C83" s="361" t="s">
        <v>1058</v>
      </c>
      <c r="D83" s="2293"/>
      <c r="E83" s="2038"/>
      <c r="F83" s="2202"/>
      <c r="G83" s="2248"/>
      <c r="H83" s="1517"/>
      <c r="I83" s="646" t="s">
        <v>1059</v>
      </c>
      <c r="J83" s="567"/>
      <c r="K83" s="1517"/>
      <c r="L83" s="193"/>
      <c r="M83" s="1998"/>
      <c r="N83" s="322"/>
      <c r="O83" s="1649"/>
      <c r="P83" s="1649"/>
    </row>
    <row s="1660" customFormat="1" customHeight="1" ht="0.75">
      <c r="A84" s="1805"/>
      <c r="B84" s="1805"/>
      <c r="C84" s="361" t="s">
        <v>1064</v>
      </c>
      <c r="D84" s="2293"/>
      <c r="E84" s="2038"/>
      <c r="F84" s="2202"/>
      <c r="G84" s="397"/>
      <c r="H84" s="1517"/>
      <c r="I84" s="646"/>
      <c r="J84" s="567"/>
      <c r="K84" s="1517"/>
      <c r="L84" s="193"/>
      <c r="M84" s="1998"/>
      <c r="N84" s="322"/>
      <c r="O84" s="1649"/>
      <c r="P84" s="1649"/>
    </row>
    <row customHeight="1" ht="18.75">
      <c r="A85" s="1805"/>
      <c r="B85" s="1805"/>
      <c r="D85" s="368"/>
      <c r="E85" s="127" t="s">
        <v>109</v>
      </c>
      <c r="F85" s="228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5" s="2285"/>
      <c r="H85" s="2285"/>
      <c r="I85" s="2285"/>
      <c r="J85" s="2285"/>
      <c r="K85" s="2285"/>
      <c r="L85" s="2285"/>
      <c r="M85" s="277"/>
      <c r="N85" s="322"/>
    </row>
    <row customHeight="1" ht="33.75">
      <c r="A86" s="1805"/>
      <c r="B86" s="1805"/>
      <c r="D86" s="368"/>
      <c r="E86" s="396"/>
      <c r="F86" s="177" t="s">
        <v>311</v>
      </c>
      <c r="G86" s="177" t="s">
        <v>311</v>
      </c>
      <c r="H86" s="2050" t="s">
        <v>311</v>
      </c>
      <c r="I86" s="2066"/>
      <c r="J86" s="177" t="s">
        <v>311</v>
      </c>
      <c r="K86" s="177" t="s">
        <v>311</v>
      </c>
      <c r="L86" s="398"/>
      <c r="M86" s="333" t="s">
        <v>1065</v>
      </c>
      <c r="N86" s="322"/>
    </row>
    <row customHeight="1" ht="18.75">
      <c r="A87" s="1805"/>
      <c r="B87" s="1805"/>
      <c r="D87" s="368"/>
      <c r="E87" s="127" t="s">
        <v>89</v>
      </c>
      <c r="F87" s="2285" t="s">
        <v>1066</v>
      </c>
      <c r="G87" s="2285"/>
      <c r="H87" s="2285"/>
      <c r="I87" s="2285"/>
      <c r="J87" s="2285"/>
      <c r="K87" s="2285"/>
      <c r="L87" s="2285"/>
      <c r="M87" s="277"/>
      <c r="N87" s="322"/>
    </row>
    <row s="1660" customFormat="1" customHeight="1" ht="60.75" hidden="1">
      <c r="A88" s="1805" t="s">
        <v>153</v>
      </c>
      <c r="B88" s="1805" t="s">
        <v>154</v>
      </c>
      <c r="C88" s="361"/>
      <c r="D88" s="2293"/>
      <c r="E88" s="2038"/>
      <c r="F88" s="2202" t="str">
        <f>INDEX(PT_DIFFERENTIATION_VTAR,MATCH(A88,PT_DIFFERENTIATION_VTAR_ID,0))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8" s="2248" t="str">
        <f>INDEX(PT_DIFFERENTIATION_NTAR,MATCH(B88,PT_DIFFERENTIATION_NTAR_ID,0))</f>
        <v/>
      </c>
      <c r="H88" s="1887"/>
      <c r="I88" s="1763"/>
      <c r="J88" s="1798"/>
      <c r="K88" s="1803"/>
      <c r="L88" s="1887" t="s">
        <v>311</v>
      </c>
      <c r="M88"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8" s="322"/>
      <c r="O88" s="1649"/>
      <c r="P88" s="1649"/>
    </row>
    <row s="1660" customFormat="1" customHeight="1" ht="18.75" hidden="1">
      <c r="A89" s="1805"/>
      <c r="B89" s="1805"/>
      <c r="C89" s="361" t="s">
        <v>1060</v>
      </c>
      <c r="D89" s="2293"/>
      <c r="E89" s="2038"/>
      <c r="F89" s="2202"/>
      <c r="G89" s="2248"/>
      <c r="H89" s="1517"/>
      <c r="I89" s="646" t="s">
        <v>1059</v>
      </c>
      <c r="J89" s="567"/>
      <c r="K89" s="1517"/>
      <c r="L89" s="193"/>
      <c r="M89" s="1998"/>
      <c r="N89" s="322"/>
      <c r="O89" s="1649"/>
      <c r="P89" s="1649"/>
    </row>
    <row s="1660" customFormat="1" customHeight="1" ht="0.75" hidden="1">
      <c r="A90" s="1805"/>
      <c r="B90" s="1805"/>
      <c r="C90" s="361" t="s">
        <v>1067</v>
      </c>
      <c r="D90" s="2293"/>
      <c r="E90" s="2038"/>
      <c r="F90" s="2202"/>
      <c r="G90" s="397"/>
      <c r="H90" s="1517"/>
      <c r="I90" s="646"/>
      <c r="J90" s="567"/>
      <c r="K90" s="1517"/>
      <c r="L90" s="193"/>
      <c r="M90" s="1998"/>
      <c r="N90" s="322"/>
      <c r="O90" s="1649"/>
      <c r="P90" s="1649"/>
    </row>
    <row s="1660" customFormat="1" customHeight="1" ht="45" hidden="1">
      <c r="A91" s="1805" t="s">
        <v>161</v>
      </c>
      <c r="B91" s="1805" t="s">
        <v>162</v>
      </c>
      <c r="C91" s="361"/>
      <c r="D91" s="2293"/>
      <c r="E91" s="2038"/>
      <c r="F91" s="2202" t="str">
        <f>INDEX(PT_DIFFERENTIATION_VTAR,MATCH(A91,PT_DIFFERENTIATION_VTAR_ID,0))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1" s="2248" t="str">
        <f>INDEX(PT_DIFFERENTIATION_NTAR,MATCH(B91,PT_DIFFERENTIATION_NTAR_ID,0))</f>
        <v>Тарифы на тепловую энергию, поставляемую обществом с ограниченной ответственностью "ПРОМ ИМПУЛЬС" потребителям, расположенным на территории Санкт-Петербурга</v>
      </c>
      <c r="H91" s="1887"/>
      <c r="I91" s="1763"/>
      <c r="J91" s="1798"/>
      <c r="K91" s="1803"/>
      <c r="L91" s="1887" t="s">
        <v>311</v>
      </c>
      <c r="M91" s="1999"/>
      <c r="N91" s="322"/>
      <c r="O91" s="1649"/>
      <c r="P91" s="1649"/>
    </row>
    <row s="1660" customFormat="1" customHeight="1" ht="18.75" hidden="1">
      <c r="A92" s="1805"/>
      <c r="B92" s="1805"/>
      <c r="C92" s="361" t="s">
        <v>1060</v>
      </c>
      <c r="D92" s="2293"/>
      <c r="E92" s="2038"/>
      <c r="F92" s="2202"/>
      <c r="G92" s="2248"/>
      <c r="H92" s="1517"/>
      <c r="I92" s="646" t="s">
        <v>1059</v>
      </c>
      <c r="J92" s="567"/>
      <c r="K92" s="1517"/>
      <c r="L92" s="193"/>
      <c r="M92" s="1886"/>
      <c r="N92" s="322"/>
      <c r="O92" s="1649"/>
      <c r="P92" s="1649"/>
    </row>
    <row s="1660" customFormat="1" customHeight="1" ht="18.75">
      <c r="A93" s="1848" t="s">
        <v>161</v>
      </c>
      <c r="B93" s="1848" t="s">
        <v>171</v>
      </c>
      <c r="C93" s="1712"/>
      <c r="D93" s="332"/>
      <c r="E93" s="1026"/>
      <c r="F93" s="1026"/>
      <c r="G93" s="2248" t="str">
        <f>INDEX(PT_DIFFERENTIATION_NTAR,MATCH(B93,PT_DIFFERENTIATION_NTAR_ID,0))</f>
        <v>Тарифы на тепловую энергию, поставляемую обществом с ограниченной ответственностью "ПРОМ ИМПУЛЬС" на коллекторах источников тепловой энергии потребителям, расположенным на территории Санкт-Петербурга</v>
      </c>
      <c r="H93" s="2066"/>
      <c r="I93" s="1763"/>
      <c r="J93" s="1798"/>
      <c r="K93" s="1803"/>
      <c r="L93" s="2066" t="s">
        <v>311</v>
      </c>
      <c r="M93" s="1900"/>
      <c r="N93" s="614"/>
      <c r="O93" s="1649"/>
      <c r="P93" s="1649"/>
      <c r="Q93" s="1660"/>
      <c r="R93" s="1660"/>
      <c r="S93" s="1660"/>
      <c r="T93" s="1660"/>
      <c r="U93" s="1660"/>
      <c r="V93" s="1660"/>
      <c r="W93" s="1660"/>
      <c r="X93" s="1660"/>
      <c r="Y93" s="1660"/>
      <c r="Z93" s="1660"/>
      <c r="AA93" s="1660"/>
      <c r="AB93" s="1660"/>
      <c r="AC93" s="1660"/>
      <c r="AD93" s="1660"/>
      <c r="AE93" s="1660"/>
      <c r="AF93" s="1660"/>
      <c r="AG93" s="1660"/>
    </row>
    <row s="1660" customFormat="1" customHeight="1" ht="18.75">
      <c r="A94" s="1848"/>
      <c r="B94" s="1848"/>
      <c r="C94" s="1712" t="s">
        <v>1060</v>
      </c>
      <c r="D94" s="332"/>
      <c r="E94" s="1026"/>
      <c r="F94" s="1026"/>
      <c r="G94" s="2248"/>
      <c r="H94" s="4068"/>
      <c r="I94" s="4069" t="s">
        <v>1059</v>
      </c>
      <c r="J94" s="4070"/>
      <c r="K94" s="4071"/>
      <c r="L94" s="4072"/>
      <c r="M94" s="1900"/>
      <c r="N94" s="614"/>
      <c r="O94" s="1649"/>
      <c r="P94" s="1649"/>
      <c r="Q94" s="1660"/>
      <c r="R94" s="1660"/>
      <c r="S94" s="1660"/>
      <c r="T94" s="1660"/>
      <c r="U94" s="1660"/>
      <c r="V94" s="1660"/>
      <c r="W94" s="1660"/>
      <c r="X94" s="1660"/>
      <c r="Y94" s="1660"/>
      <c r="Z94" s="1660"/>
      <c r="AA94" s="1660"/>
      <c r="AB94" s="1660"/>
      <c r="AC94" s="1660"/>
      <c r="AD94" s="1660"/>
      <c r="AE94" s="1660"/>
      <c r="AF94" s="1660"/>
      <c r="AG94" s="1660"/>
    </row>
    <row s="1660" customFormat="1" customHeight="1" ht="18.75">
      <c r="A95" s="1848" t="s">
        <v>161</v>
      </c>
      <c r="B95" s="1848" t="s">
        <v>176</v>
      </c>
      <c r="C95" s="1712"/>
      <c r="D95" s="332"/>
      <c r="E95" s="1026"/>
      <c r="F95" s="1026"/>
      <c r="G95" s="2248" t="str">
        <f>INDEX(PT_DIFFERENTIATION_NTAR,MATCH(B95,PT_DIFFERENTIATION_NTAR_ID,0))</f>
        <v>Льготный тариф на тепловую энергию</v>
      </c>
      <c r="H95" s="2066"/>
      <c r="I95" s="1763"/>
      <c r="J95" s="1798"/>
      <c r="K95" s="1803"/>
      <c r="L95" s="2066" t="s">
        <v>311</v>
      </c>
      <c r="M95" s="1900"/>
      <c r="N95" s="614"/>
      <c r="O95" s="1649"/>
      <c r="P95" s="1649"/>
      <c r="Q95" s="1660"/>
      <c r="R95" s="1660"/>
      <c r="S95" s="1660"/>
      <c r="T95" s="1660"/>
      <c r="U95" s="1660"/>
      <c r="V95" s="1660"/>
      <c r="W95" s="1660"/>
      <c r="X95" s="1660"/>
      <c r="Y95" s="1660"/>
      <c r="Z95" s="1660"/>
      <c r="AA95" s="1660"/>
      <c r="AB95" s="1660"/>
      <c r="AC95" s="1660"/>
      <c r="AD95" s="1660"/>
      <c r="AE95" s="1660"/>
      <c r="AF95" s="1660"/>
      <c r="AG95" s="1660"/>
    </row>
    <row s="1660" customFormat="1" customHeight="1" ht="18.75">
      <c r="A96" s="1848"/>
      <c r="B96" s="1848"/>
      <c r="C96" s="1712" t="s">
        <v>1060</v>
      </c>
      <c r="D96" s="332"/>
      <c r="E96" s="1026"/>
      <c r="F96" s="1026"/>
      <c r="G96" s="2248"/>
      <c r="H96" s="4073"/>
      <c r="I96" s="4074" t="s">
        <v>1059</v>
      </c>
      <c r="J96" s="4075"/>
      <c r="K96" s="4076"/>
      <c r="L96" s="4077"/>
      <c r="M96" s="1900"/>
      <c r="N96" s="614"/>
      <c r="O96" s="1649"/>
      <c r="P96" s="1649"/>
      <c r="Q96" s="1660"/>
      <c r="R96" s="1660"/>
      <c r="S96" s="1660"/>
      <c r="T96" s="1660"/>
      <c r="U96" s="1660"/>
      <c r="V96" s="1660"/>
      <c r="W96" s="1660"/>
      <c r="X96" s="1660"/>
      <c r="Y96" s="1660"/>
      <c r="Z96" s="1660"/>
      <c r="AA96" s="1660"/>
      <c r="AB96" s="1660"/>
      <c r="AC96" s="1660"/>
      <c r="AD96" s="1660"/>
      <c r="AE96" s="1660"/>
      <c r="AF96" s="1660"/>
      <c r="AG96" s="1660"/>
    </row>
    <row s="1660" customFormat="1" customHeight="1" ht="0.75" hidden="1">
      <c r="A97" s="1805"/>
      <c r="B97" s="1805"/>
      <c r="C97" s="361" t="s">
        <v>1067</v>
      </c>
      <c r="D97" s="2293"/>
      <c r="E97" s="2038"/>
      <c r="F97" s="2202"/>
      <c r="G97" s="397"/>
      <c r="H97" s="1517"/>
      <c r="I97" s="646"/>
      <c r="J97" s="567"/>
      <c r="K97" s="1517"/>
      <c r="L97" s="193"/>
      <c r="M97" s="329"/>
      <c r="N97" s="322"/>
      <c r="O97" s="1649"/>
      <c r="P97" s="1649"/>
    </row>
    <row s="1660" customFormat="1" customHeight="1" ht="45" hidden="1">
      <c r="A98" s="1805" t="s">
        <v>184</v>
      </c>
      <c r="B98" s="1805" t="s">
        <v>185</v>
      </c>
      <c r="C98" s="361"/>
      <c r="D98" s="2293"/>
      <c r="E98" s="2038"/>
      <c r="F98" s="2202" t="str">
        <f>INDEX(PT_DIFFERENTIATION_VTAR,MATCH(A98,PT_DIFFERENTIATION_VTAR_ID,0))</f>
        <v>Тарифы на теплоноситель, поставляемый теплоснабжающими организациями потребителям, другим теплоснабжающим организациям</v>
      </c>
      <c r="G98" s="2248" t="str">
        <f>INDEX(PT_DIFFERENTIATION_NTAR,MATCH(B98,PT_DIFFERENTIATION_NTAR_ID,0))</f>
        <v>Тариф на теплоноситель, поставляемый обществом с ограниченной ответственностью "ПРОМ ИМПУЛЬС" потребителям, расположенным на территории Санкт-Петербурга</v>
      </c>
      <c r="H98" s="1887"/>
      <c r="I98" s="1763"/>
      <c r="J98" s="1798"/>
      <c r="K98" s="1803"/>
      <c r="L98" s="1887" t="s">
        <v>311</v>
      </c>
      <c r="M98" s="329"/>
      <c r="N98" s="322"/>
      <c r="O98" s="1649"/>
      <c r="P98" s="1649"/>
    </row>
    <row s="1660" customFormat="1" customHeight="1" ht="18.75" hidden="1">
      <c r="A99" s="1805"/>
      <c r="B99" s="1805"/>
      <c r="C99" s="361" t="s">
        <v>1060</v>
      </c>
      <c r="D99" s="2293"/>
      <c r="E99" s="2038"/>
      <c r="F99" s="2202"/>
      <c r="G99" s="2248"/>
      <c r="H99" s="1517"/>
      <c r="I99" s="646" t="s">
        <v>1059</v>
      </c>
      <c r="J99" s="567"/>
      <c r="K99" s="1517"/>
      <c r="L99" s="193"/>
      <c r="M99" s="329"/>
      <c r="N99" s="322"/>
      <c r="O99" s="1649"/>
      <c r="P99" s="1649"/>
    </row>
    <row s="1660" customFormat="1" customHeight="1" ht="0.75" hidden="1">
      <c r="A100" s="1805"/>
      <c r="B100" s="1805"/>
      <c r="C100" s="361" t="s">
        <v>1067</v>
      </c>
      <c r="D100" s="2293"/>
      <c r="E100" s="2038"/>
      <c r="F100" s="2202"/>
      <c r="G100" s="397"/>
      <c r="H100" s="1517"/>
      <c r="I100" s="646"/>
      <c r="J100" s="567"/>
      <c r="K100" s="1517"/>
      <c r="L100" s="193"/>
      <c r="M100" s="329"/>
      <c r="N100" s="322"/>
      <c r="O100" s="1649"/>
      <c r="P100" s="1649"/>
    </row>
    <row s="1660" customFormat="1" customHeight="1" ht="45" hidden="1">
      <c r="A101" s="1805" t="s">
        <v>192</v>
      </c>
      <c r="B101" s="1805" t="s">
        <v>193</v>
      </c>
      <c r="C101" s="361"/>
      <c r="D101" s="2293"/>
      <c r="E101" s="2038"/>
      <c r="F101" s="2202" t="str">
        <f>INDEX(PT_DIFFERENTIATION_VTAR,MATCH(A101,PT_DIFFERENTIATION_VTAR_ID,0))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01" s="2248" t="str">
        <f>INDEX(PT_DIFFERENTIATION_NTAR,MATCH(B101,PT_DIFFERENTIATION_NTAR_ID,0))</f>
        <v>Тариф на горячую воду (горячее водоснабжение), поставляемую обществом с ограниченной ответственностью "ПРОМ ИМПУЛЬС" в открытых системах теплоснабжения потребителям, расположенным на территории Санкт-Петербурга</v>
      </c>
      <c r="H101" s="1887"/>
      <c r="I101" s="1763"/>
      <c r="J101" s="1798"/>
      <c r="K101" s="1803"/>
      <c r="L101" s="1887" t="s">
        <v>311</v>
      </c>
      <c r="M101" s="329"/>
      <c r="N101" s="322"/>
      <c r="O101" s="1649"/>
      <c r="P101" s="1649"/>
    </row>
    <row s="1660" customFormat="1" customHeight="1" ht="18.75" hidden="1">
      <c r="A102" s="1805"/>
      <c r="B102" s="1805"/>
      <c r="C102" s="361" t="s">
        <v>1060</v>
      </c>
      <c r="D102" s="2293"/>
      <c r="E102" s="2038"/>
      <c r="F102" s="2202"/>
      <c r="G102" s="2248"/>
      <c r="H102" s="1517"/>
      <c r="I102" s="646" t="s">
        <v>1059</v>
      </c>
      <c r="J102" s="567"/>
      <c r="K102" s="1517"/>
      <c r="L102" s="193"/>
      <c r="M102" s="329"/>
      <c r="N102" s="322"/>
      <c r="O102" s="1649"/>
      <c r="P102" s="1649"/>
    </row>
    <row s="1660" customFormat="1" customHeight="1" ht="0.75" hidden="1">
      <c r="A103" s="1805"/>
      <c r="B103" s="1805"/>
      <c r="C103" s="361" t="s">
        <v>1067</v>
      </c>
      <c r="D103" s="2293"/>
      <c r="E103" s="2038"/>
      <c r="F103" s="2202"/>
      <c r="G103" s="397"/>
      <c r="H103" s="1517"/>
      <c r="I103" s="646"/>
      <c r="J103" s="567"/>
      <c r="K103" s="1517"/>
      <c r="L103" s="193"/>
      <c r="M103" s="329"/>
      <c r="N103" s="322"/>
      <c r="O103" s="1649"/>
      <c r="P103" s="1649"/>
    </row>
    <row s="1660" customFormat="1" customHeight="1" ht="18.75" hidden="1">
      <c r="A104" s="1805" t="s">
        <v>198</v>
      </c>
      <c r="B104" s="1805" t="s">
        <v>199</v>
      </c>
      <c r="C104" s="361"/>
      <c r="D104" s="2293"/>
      <c r="E104" s="2038"/>
      <c r="F104" s="2202" t="str">
        <f>INDEX(PT_DIFFERENTIATION_VTAR,MATCH(A104,PT_DIFFERENTIATION_VTAR_ID,0))</f>
        <v>Тарифы на услуги по передаче тепловой энергии</v>
      </c>
      <c r="G104" s="2248" t="str">
        <f>INDEX(PT_DIFFERENTIATION_NTAR,MATCH(B104,PT_DIFFERENTIATION_NTAR_ID,0))</f>
        <v/>
      </c>
      <c r="H104" s="1887"/>
      <c r="I104" s="1763"/>
      <c r="J104" s="1798"/>
      <c r="K104" s="1803"/>
      <c r="L104" s="1887" t="s">
        <v>311</v>
      </c>
      <c r="M104" s="329"/>
      <c r="N104" s="322"/>
      <c r="O104" s="1649"/>
      <c r="P104" s="1649"/>
    </row>
    <row s="1660" customFormat="1" customHeight="1" ht="18.75" hidden="1">
      <c r="A105" s="1805"/>
      <c r="B105" s="1805"/>
      <c r="C105" s="361" t="s">
        <v>1060</v>
      </c>
      <c r="D105" s="2293"/>
      <c r="E105" s="2038"/>
      <c r="F105" s="2202"/>
      <c r="G105" s="2248"/>
      <c r="H105" s="1517"/>
      <c r="I105" s="646" t="s">
        <v>1059</v>
      </c>
      <c r="J105" s="567"/>
      <c r="K105" s="1517"/>
      <c r="L105" s="193"/>
      <c r="M105" s="329"/>
      <c r="N105" s="322"/>
      <c r="O105" s="1649"/>
      <c r="P105" s="1649"/>
    </row>
    <row s="1660" customFormat="1" customHeight="1" ht="0.75" hidden="1">
      <c r="A106" s="1805"/>
      <c r="B106" s="1805"/>
      <c r="C106" s="361" t="s">
        <v>1067</v>
      </c>
      <c r="D106" s="2293"/>
      <c r="E106" s="2038"/>
      <c r="F106" s="2202"/>
      <c r="G106" s="397"/>
      <c r="H106" s="1517"/>
      <c r="I106" s="646"/>
      <c r="J106" s="567"/>
      <c r="K106" s="1517"/>
      <c r="L106" s="193"/>
      <c r="M106" s="329"/>
      <c r="N106" s="322"/>
      <c r="O106" s="1649"/>
      <c r="P106" s="1649"/>
    </row>
    <row s="1660" customFormat="1" customHeight="1" ht="18.75" hidden="1">
      <c r="A107" s="1805" t="s">
        <v>204</v>
      </c>
      <c r="B107" s="1805" t="s">
        <v>205</v>
      </c>
      <c r="C107" s="361"/>
      <c r="D107" s="2293"/>
      <c r="E107" s="2038"/>
      <c r="F107" s="2202" t="str">
        <f>INDEX(PT_DIFFERENTIATION_VTAR,MATCH(A107,PT_DIFFERENTIATION_VTAR_ID,0))</f>
        <v>Тарифы на услуги по передаче теплоносителя</v>
      </c>
      <c r="G107" s="2248" t="str">
        <f>INDEX(PT_DIFFERENTIATION_NTAR,MATCH(B107,PT_DIFFERENTIATION_NTAR_ID,0))</f>
        <v/>
      </c>
      <c r="H107" s="1887"/>
      <c r="I107" s="1763"/>
      <c r="J107" s="1798"/>
      <c r="K107" s="1803"/>
      <c r="L107" s="1887" t="s">
        <v>311</v>
      </c>
      <c r="M107" s="329"/>
      <c r="N107" s="322"/>
      <c r="O107" s="1649"/>
      <c r="P107" s="1649"/>
    </row>
    <row s="1660" customFormat="1" customHeight="1" ht="18.75" hidden="1">
      <c r="A108" s="1805"/>
      <c r="B108" s="1805"/>
      <c r="C108" s="361" t="s">
        <v>1060</v>
      </c>
      <c r="D108" s="2293"/>
      <c r="E108" s="2038"/>
      <c r="F108" s="2202"/>
      <c r="G108" s="2248"/>
      <c r="H108" s="1517"/>
      <c r="I108" s="646" t="s">
        <v>1059</v>
      </c>
      <c r="J108" s="567"/>
      <c r="K108" s="1517"/>
      <c r="L108" s="193"/>
      <c r="M108" s="329"/>
      <c r="N108" s="322"/>
      <c r="O108" s="1649"/>
      <c r="P108" s="1649"/>
    </row>
    <row s="1660" customFormat="1" customHeight="1" ht="0.75" hidden="1">
      <c r="A109" s="1805"/>
      <c r="B109" s="1805"/>
      <c r="C109" s="361" t="s">
        <v>1067</v>
      </c>
      <c r="D109" s="2293"/>
      <c r="E109" s="2038"/>
      <c r="F109" s="2202"/>
      <c r="G109" s="397"/>
      <c r="H109" s="1517"/>
      <c r="I109" s="646"/>
      <c r="J109" s="567"/>
      <c r="K109" s="1517"/>
      <c r="L109" s="193"/>
      <c r="M109" s="329"/>
      <c r="N109" s="322"/>
      <c r="O109" s="1649"/>
      <c r="P109" s="1649"/>
    </row>
    <row s="1660" customFormat="1" customHeight="1" ht="18.75" hidden="1">
      <c r="A110" s="1805" t="s">
        <v>210</v>
      </c>
      <c r="B110" s="1805" t="s">
        <v>211</v>
      </c>
      <c r="C110" s="361"/>
      <c r="D110" s="2293"/>
      <c r="E110" s="2038"/>
      <c r="F110" s="2202" t="str">
        <f>INDEX(PT_DIFFERENTIATION_VTAR,MATCH(A110,PT_DIFFERENTIATION_VTAR_ID,0))</f>
        <v>Плата за услуги по поддержанию резервной тепловой мощности при отсутствии потребления тепловой энергии</v>
      </c>
      <c r="G110" s="2248" t="str">
        <f>INDEX(PT_DIFFERENTIATION_NTAR,MATCH(B110,PT_DIFFERENTIATION_NTAR_ID,0))</f>
        <v/>
      </c>
      <c r="H110" s="1887"/>
      <c r="I110" s="1763"/>
      <c r="J110" s="1798"/>
      <c r="K110" s="1803"/>
      <c r="L110" s="1887" t="s">
        <v>311</v>
      </c>
      <c r="M110" s="329"/>
      <c r="N110" s="322"/>
      <c r="O110" s="1649"/>
      <c r="P110" s="1649"/>
    </row>
    <row s="1660" customFormat="1" customHeight="1" ht="18.75" hidden="1">
      <c r="A111" s="1805"/>
      <c r="B111" s="1805"/>
      <c r="C111" s="361" t="s">
        <v>1060</v>
      </c>
      <c r="D111" s="2293"/>
      <c r="E111" s="2038"/>
      <c r="F111" s="2202"/>
      <c r="G111" s="2248"/>
      <c r="H111" s="1517"/>
      <c r="I111" s="646" t="s">
        <v>1059</v>
      </c>
      <c r="J111" s="567"/>
      <c r="K111" s="1517"/>
      <c r="L111" s="193"/>
      <c r="M111" s="329"/>
      <c r="N111" s="322"/>
      <c r="O111" s="1649"/>
      <c r="P111" s="1649"/>
    </row>
    <row s="1660" customFormat="1" customHeight="1" ht="0.75" hidden="1">
      <c r="A112" s="1805"/>
      <c r="B112" s="1805"/>
      <c r="C112" s="361" t="s">
        <v>1067</v>
      </c>
      <c r="D112" s="2293"/>
      <c r="E112" s="2038"/>
      <c r="F112" s="2202"/>
      <c r="G112" s="397"/>
      <c r="H112" s="1517"/>
      <c r="I112" s="646"/>
      <c r="J112" s="567"/>
      <c r="K112" s="1517"/>
      <c r="L112" s="193"/>
      <c r="M112" s="329"/>
      <c r="N112" s="322"/>
      <c r="O112" s="1649"/>
      <c r="P112" s="1649"/>
    </row>
    <row s="1660" customFormat="1" customHeight="1" ht="18.75" hidden="1">
      <c r="A113" s="1805" t="s">
        <v>216</v>
      </c>
      <c r="B113" s="1805" t="s">
        <v>217</v>
      </c>
      <c r="C113" s="361"/>
      <c r="D113" s="2293"/>
      <c r="E113" s="2038"/>
      <c r="F113" s="2202" t="str">
        <f>INDEX(PT_DIFFERENTIATION_VTAR,MATCH(A113,PT_DIFFERENTIATION_VTAR_ID,0))</f>
        <v>Плата за подключение (технологическое присоединение) к системе теплоснабжения</v>
      </c>
      <c r="G113" s="2248" t="str">
        <f>INDEX(PT_DIFFERENTIATION_NTAR,MATCH(B113,PT_DIFFERENTIATION_NTAR_ID,0))</f>
        <v/>
      </c>
      <c r="H113" s="1887"/>
      <c r="I113" s="1763"/>
      <c r="J113" s="1798"/>
      <c r="K113" s="1803"/>
      <c r="L113" s="1887" t="s">
        <v>311</v>
      </c>
      <c r="M113" s="329"/>
      <c r="N113" s="322"/>
      <c r="O113" s="1649"/>
      <c r="P113" s="1649"/>
    </row>
    <row s="1660" customFormat="1" customHeight="1" ht="18.75" hidden="1">
      <c r="A114" s="1805"/>
      <c r="B114" s="1805"/>
      <c r="C114" s="361" t="s">
        <v>1060</v>
      </c>
      <c r="D114" s="2293"/>
      <c r="E114" s="2038"/>
      <c r="F114" s="2202"/>
      <c r="G114" s="2248"/>
      <c r="H114" s="1517"/>
      <c r="I114" s="646" t="s">
        <v>1059</v>
      </c>
      <c r="J114" s="567"/>
      <c r="K114" s="1517"/>
      <c r="L114" s="193"/>
      <c r="M114" s="329"/>
      <c r="N114" s="322"/>
      <c r="O114" s="1649"/>
      <c r="P114" s="1649"/>
    </row>
    <row s="1660" customFormat="1" customHeight="1" ht="0.75" hidden="1">
      <c r="A115" s="1805"/>
      <c r="B115" s="1805"/>
      <c r="C115" s="361" t="s">
        <v>1067</v>
      </c>
      <c r="D115" s="2293"/>
      <c r="E115" s="2038"/>
      <c r="F115" s="2202"/>
      <c r="G115" s="397"/>
      <c r="H115" s="1517"/>
      <c r="I115" s="646"/>
      <c r="J115" s="567"/>
      <c r="K115" s="1517"/>
      <c r="L115" s="193"/>
      <c r="M115" s="329"/>
      <c r="N115" s="322"/>
      <c r="O115" s="1649"/>
      <c r="P115" s="1649"/>
    </row>
    <row s="1660" customFormat="1" customHeight="1" ht="18.75" hidden="1">
      <c r="A116" s="1805" t="s">
        <v>230</v>
      </c>
      <c r="B116" s="1805" t="s">
        <v>231</v>
      </c>
      <c r="C116" s="361"/>
      <c r="D116" s="2293"/>
      <c r="E116" s="2038"/>
      <c r="F116" s="2202" t="str">
        <f>INDEX(PT_DIFFERENTIATION_VTAR,MATCH(A116,PT_DIFFERENTIATION_VTAR_ID,0))</f>
        <v>Тариф на питьевую воду (питьевое водоснабжение)</v>
      </c>
      <c r="G116" s="2248" t="str">
        <f>INDEX(PT_DIFFERENTIATION_NTAR,MATCH(B116,PT_DIFFERENTIATION_NTAR_ID,0))</f>
        <v/>
      </c>
      <c r="H116" s="1887"/>
      <c r="I116" s="1763"/>
      <c r="J116" s="1798"/>
      <c r="K116" s="1803"/>
      <c r="L116" s="1887" t="s">
        <v>311</v>
      </c>
      <c r="M116" s="329"/>
      <c r="N116" s="322"/>
      <c r="O116" s="1649"/>
      <c r="P116" s="1649"/>
    </row>
    <row s="1660" customFormat="1" customHeight="1" ht="18.75" hidden="1">
      <c r="A117" s="1805"/>
      <c r="B117" s="1805"/>
      <c r="C117" s="361" t="s">
        <v>1060</v>
      </c>
      <c r="D117" s="2293"/>
      <c r="E117" s="2038"/>
      <c r="F117" s="2202"/>
      <c r="G117" s="2248"/>
      <c r="H117" s="1517"/>
      <c r="I117" s="646" t="s">
        <v>1059</v>
      </c>
      <c r="J117" s="567"/>
      <c r="K117" s="1517"/>
      <c r="L117" s="193"/>
      <c r="M117" s="329"/>
      <c r="N117" s="322"/>
      <c r="O117" s="1649"/>
      <c r="P117" s="1649"/>
    </row>
    <row s="1660" customFormat="1" customHeight="1" ht="0.75" hidden="1">
      <c r="A118" s="1805"/>
      <c r="B118" s="1805"/>
      <c r="C118" s="361" t="s">
        <v>1067</v>
      </c>
      <c r="D118" s="2293"/>
      <c r="E118" s="2038"/>
      <c r="F118" s="2202"/>
      <c r="G118" s="397"/>
      <c r="H118" s="1517"/>
      <c r="I118" s="646"/>
      <c r="J118" s="567"/>
      <c r="K118" s="1517"/>
      <c r="L118" s="193"/>
      <c r="M118" s="329"/>
      <c r="N118" s="322"/>
      <c r="O118" s="1649"/>
      <c r="P118" s="1649"/>
    </row>
    <row s="1660" customFormat="1" customHeight="1" ht="18.75" hidden="1">
      <c r="A119" s="1805" t="s">
        <v>235</v>
      </c>
      <c r="B119" s="1805" t="s">
        <v>236</v>
      </c>
      <c r="C119" s="361"/>
      <c r="D119" s="2293"/>
      <c r="E119" s="2038"/>
      <c r="F119" s="2202" t="str">
        <f>INDEX(PT_DIFFERENTIATION_VTAR,MATCH(A119,PT_DIFFERENTIATION_VTAR_ID,0))</f>
        <v>Тариф на техническую воду</v>
      </c>
      <c r="G119" s="2248" t="str">
        <f>INDEX(PT_DIFFERENTIATION_NTAR,MATCH(B119,PT_DIFFERENTIATION_NTAR_ID,0))</f>
        <v/>
      </c>
      <c r="H119" s="1887"/>
      <c r="I119" s="1763"/>
      <c r="J119" s="1798"/>
      <c r="K119" s="1803"/>
      <c r="L119" s="1887" t="s">
        <v>311</v>
      </c>
      <c r="M119" s="329"/>
      <c r="N119" s="322"/>
      <c r="O119" s="1649"/>
      <c r="P119" s="1649"/>
    </row>
    <row s="1660" customFormat="1" customHeight="1" ht="18.75" hidden="1">
      <c r="A120" s="1805"/>
      <c r="B120" s="1805"/>
      <c r="C120" s="361" t="s">
        <v>1060</v>
      </c>
      <c r="D120" s="2293"/>
      <c r="E120" s="2038"/>
      <c r="F120" s="2202"/>
      <c r="G120" s="2248"/>
      <c r="H120" s="1517"/>
      <c r="I120" s="646" t="s">
        <v>1059</v>
      </c>
      <c r="J120" s="567"/>
      <c r="K120" s="1517"/>
      <c r="L120" s="193"/>
      <c r="M120" s="329"/>
      <c r="N120" s="322"/>
      <c r="O120" s="1649"/>
      <c r="P120" s="1649"/>
    </row>
    <row s="1660" customFormat="1" customHeight="1" ht="0.75" hidden="1">
      <c r="A121" s="1805"/>
      <c r="B121" s="1805"/>
      <c r="C121" s="361" t="s">
        <v>1067</v>
      </c>
      <c r="D121" s="2293"/>
      <c r="E121" s="2038"/>
      <c r="F121" s="2202"/>
      <c r="G121" s="397"/>
      <c r="H121" s="1517"/>
      <c r="I121" s="646"/>
      <c r="J121" s="567"/>
      <c r="K121" s="1517"/>
      <c r="L121" s="193"/>
      <c r="M121" s="329"/>
      <c r="N121" s="322"/>
      <c r="O121" s="1649"/>
      <c r="P121" s="1649"/>
    </row>
    <row s="1660" customFormat="1" customHeight="1" ht="18.75" hidden="1">
      <c r="A122" s="1805" t="s">
        <v>240</v>
      </c>
      <c r="B122" s="1805" t="s">
        <v>241</v>
      </c>
      <c r="C122" s="361"/>
      <c r="D122" s="2293"/>
      <c r="E122" s="2038"/>
      <c r="F122" s="2202" t="str">
        <f>INDEX(PT_DIFFERENTIATION_VTAR,MATCH(A122,PT_DIFFERENTIATION_VTAR_ID,0))</f>
        <v>Тариф на транспортировку воды</v>
      </c>
      <c r="G122" s="2248" t="str">
        <f>INDEX(PT_DIFFERENTIATION_NTAR,MATCH(B122,PT_DIFFERENTIATION_NTAR_ID,0))</f>
        <v/>
      </c>
      <c r="H122" s="1887"/>
      <c r="I122" s="1763"/>
      <c r="J122" s="1798"/>
      <c r="K122" s="1803"/>
      <c r="L122" s="1887" t="s">
        <v>311</v>
      </c>
      <c r="M122" s="329"/>
      <c r="N122" s="322"/>
      <c r="O122" s="1649"/>
      <c r="P122" s="1649"/>
    </row>
    <row s="1660" customFormat="1" customHeight="1" ht="18.75" hidden="1">
      <c r="A123" s="1805"/>
      <c r="B123" s="1805"/>
      <c r="C123" s="361" t="s">
        <v>1060</v>
      </c>
      <c r="D123" s="2293"/>
      <c r="E123" s="2038"/>
      <c r="F123" s="2202"/>
      <c r="G123" s="2248"/>
      <c r="H123" s="1517"/>
      <c r="I123" s="646" t="s">
        <v>1059</v>
      </c>
      <c r="J123" s="567"/>
      <c r="K123" s="1517"/>
      <c r="L123" s="193"/>
      <c r="M123" s="329"/>
      <c r="N123" s="322"/>
      <c r="O123" s="1649"/>
      <c r="P123" s="1649"/>
    </row>
    <row s="1660" customFormat="1" customHeight="1" ht="0.75" hidden="1">
      <c r="A124" s="1805"/>
      <c r="B124" s="1805"/>
      <c r="C124" s="361" t="s">
        <v>1067</v>
      </c>
      <c r="D124" s="2293"/>
      <c r="E124" s="2038"/>
      <c r="F124" s="2202"/>
      <c r="G124" s="397"/>
      <c r="H124" s="1517"/>
      <c r="I124" s="646"/>
      <c r="J124" s="567"/>
      <c r="K124" s="1517"/>
      <c r="L124" s="193"/>
      <c r="M124" s="329"/>
      <c r="N124" s="322"/>
      <c r="O124" s="1649"/>
      <c r="P124" s="1649"/>
    </row>
    <row s="1660" customFormat="1" customHeight="1" ht="18.75" hidden="1">
      <c r="A125" s="1805" t="s">
        <v>245</v>
      </c>
      <c r="B125" s="1805" t="s">
        <v>246</v>
      </c>
      <c r="C125" s="361"/>
      <c r="D125" s="2293"/>
      <c r="E125" s="2038"/>
      <c r="F125" s="2202" t="str">
        <f>INDEX(PT_DIFFERENTIATION_VTAR,MATCH(A125,PT_DIFFERENTIATION_VTAR_ID,0))</f>
        <v>Тариф на подвоз воды</v>
      </c>
      <c r="G125" s="2248" t="str">
        <f>INDEX(PT_DIFFERENTIATION_NTAR,MATCH(B125,PT_DIFFERENTIATION_NTAR_ID,0))</f>
        <v/>
      </c>
      <c r="H125" s="1887"/>
      <c r="I125" s="1763"/>
      <c r="J125" s="1798"/>
      <c r="K125" s="1803"/>
      <c r="L125" s="1887" t="s">
        <v>311</v>
      </c>
      <c r="M125" s="329"/>
      <c r="N125" s="322"/>
      <c r="O125" s="1649"/>
      <c r="P125" s="1649"/>
    </row>
    <row s="1660" customFormat="1" customHeight="1" ht="18.75" hidden="1">
      <c r="A126" s="1805"/>
      <c r="B126" s="1805"/>
      <c r="C126" s="361" t="s">
        <v>1060</v>
      </c>
      <c r="D126" s="2293"/>
      <c r="E126" s="2038"/>
      <c r="F126" s="2202"/>
      <c r="G126" s="2248"/>
      <c r="H126" s="1517"/>
      <c r="I126" s="646" t="s">
        <v>1059</v>
      </c>
      <c r="J126" s="567"/>
      <c r="K126" s="1517"/>
      <c r="L126" s="193"/>
      <c r="M126" s="329"/>
      <c r="N126" s="322"/>
      <c r="O126" s="1649"/>
      <c r="P126" s="1649"/>
    </row>
    <row s="1660" customFormat="1" customHeight="1" ht="0.75" hidden="1">
      <c r="A127" s="1805"/>
      <c r="B127" s="1805"/>
      <c r="C127" s="361" t="s">
        <v>1067</v>
      </c>
      <c r="D127" s="2293"/>
      <c r="E127" s="2038"/>
      <c r="F127" s="2202"/>
      <c r="G127" s="397"/>
      <c r="H127" s="1517"/>
      <c r="I127" s="646"/>
      <c r="J127" s="567"/>
      <c r="K127" s="1517"/>
      <c r="L127" s="193"/>
      <c r="M127" s="329"/>
      <c r="N127" s="322"/>
      <c r="O127" s="1649"/>
      <c r="P127" s="1649"/>
    </row>
    <row s="1660" customFormat="1" customHeight="1" ht="18.75" hidden="1">
      <c r="A128" s="1805" t="s">
        <v>250</v>
      </c>
      <c r="B128" s="1805" t="s">
        <v>251</v>
      </c>
      <c r="C128" s="361"/>
      <c r="D128" s="2293"/>
      <c r="E128" s="2038"/>
      <c r="F128" s="2202" t="str">
        <f>INDEX(PT_DIFFERENTIATION_VTAR,MATCH(A128,PT_DIFFERENTIATION_VTAR_ID,0))</f>
        <v>Тариф на подключение (технологическое присоединение) к централизованной системе холодного водоснабжения</v>
      </c>
      <c r="G128" s="2248" t="str">
        <f>INDEX(PT_DIFFERENTIATION_NTAR,MATCH(B128,PT_DIFFERENTIATION_NTAR_ID,0))</f>
        <v/>
      </c>
      <c r="H128" s="1887"/>
      <c r="I128" s="1763"/>
      <c r="J128" s="1798"/>
      <c r="K128" s="1803"/>
      <c r="L128" s="1887" t="s">
        <v>311</v>
      </c>
      <c r="M128" s="329"/>
      <c r="N128" s="322"/>
      <c r="O128" s="1649"/>
      <c r="P128" s="1649"/>
    </row>
    <row s="1660" customFormat="1" customHeight="1" ht="18.75" hidden="1">
      <c r="A129" s="1805"/>
      <c r="B129" s="1805"/>
      <c r="C129" s="361" t="s">
        <v>1060</v>
      </c>
      <c r="D129" s="2293"/>
      <c r="E129" s="2038"/>
      <c r="F129" s="2202"/>
      <c r="G129" s="2248"/>
      <c r="H129" s="1517"/>
      <c r="I129" s="646" t="s">
        <v>1059</v>
      </c>
      <c r="J129" s="567"/>
      <c r="K129" s="1517"/>
      <c r="L129" s="193"/>
      <c r="M129" s="329"/>
      <c r="N129" s="322"/>
      <c r="O129" s="1649"/>
      <c r="P129" s="1649"/>
    </row>
    <row s="1660" customFormat="1" customHeight="1" ht="0.75" hidden="1">
      <c r="A130" s="1805"/>
      <c r="B130" s="1805"/>
      <c r="C130" s="361" t="s">
        <v>1067</v>
      </c>
      <c r="D130" s="2293"/>
      <c r="E130" s="2038"/>
      <c r="F130" s="2202"/>
      <c r="G130" s="397"/>
      <c r="H130" s="1517"/>
      <c r="I130" s="646"/>
      <c r="J130" s="567"/>
      <c r="K130" s="1517"/>
      <c r="L130" s="193"/>
      <c r="M130" s="329"/>
      <c r="N130" s="322"/>
      <c r="O130" s="1649"/>
      <c r="P130" s="1649"/>
    </row>
    <row s="1660" customFormat="1" customHeight="1" ht="18.75" hidden="1">
      <c r="A131" s="1805" t="s">
        <v>255</v>
      </c>
      <c r="B131" s="1805" t="s">
        <v>256</v>
      </c>
      <c r="C131" s="361"/>
      <c r="D131" s="2293"/>
      <c r="E131" s="2038"/>
      <c r="F131" s="2202" t="str">
        <f>INDEX(PT_DIFFERENTIATION_VTAR,MATCH(A131,PT_DIFFERENTIATION_VTAR_ID,0))</f>
        <v>Тариф на горячую воду (горячее водоснабжение)</v>
      </c>
      <c r="G131" s="2248" t="str">
        <f>INDEX(PT_DIFFERENTIATION_NTAR,MATCH(B131,PT_DIFFERENTIATION_NTAR_ID,0))</f>
        <v/>
      </c>
      <c r="H131" s="1887"/>
      <c r="I131" s="1763"/>
      <c r="J131" s="1798"/>
      <c r="K131" s="1803"/>
      <c r="L131" s="1887" t="s">
        <v>311</v>
      </c>
      <c r="M131" s="329"/>
      <c r="N131" s="322"/>
      <c r="O131" s="1649"/>
      <c r="P131" s="1649"/>
    </row>
    <row s="1660" customFormat="1" customHeight="1" ht="18.75" hidden="1">
      <c r="A132" s="1805"/>
      <c r="B132" s="1805"/>
      <c r="C132" s="361" t="s">
        <v>1060</v>
      </c>
      <c r="D132" s="2293"/>
      <c r="E132" s="2038"/>
      <c r="F132" s="2202"/>
      <c r="G132" s="2248"/>
      <c r="H132" s="1517"/>
      <c r="I132" s="646" t="s">
        <v>1059</v>
      </c>
      <c r="J132" s="567"/>
      <c r="K132" s="1517"/>
      <c r="L132" s="193"/>
      <c r="M132" s="329"/>
      <c r="N132" s="322"/>
      <c r="O132" s="1649"/>
      <c r="P132" s="1649"/>
    </row>
    <row s="1660" customFormat="1" customHeight="1" ht="0.75" hidden="1">
      <c r="A133" s="1805"/>
      <c r="B133" s="1805"/>
      <c r="C133" s="361" t="s">
        <v>1067</v>
      </c>
      <c r="D133" s="2293"/>
      <c r="E133" s="2038"/>
      <c r="F133" s="2202"/>
      <c r="G133" s="397"/>
      <c r="H133" s="1517"/>
      <c r="I133" s="646"/>
      <c r="J133" s="567"/>
      <c r="K133" s="1517"/>
      <c r="L133" s="193"/>
      <c r="M133" s="329"/>
      <c r="N133" s="322"/>
      <c r="O133" s="1649"/>
      <c r="P133" s="1649"/>
    </row>
    <row s="1660" customFormat="1" customHeight="1" ht="18.75" hidden="1">
      <c r="A134" s="1805" t="s">
        <v>260</v>
      </c>
      <c r="B134" s="1805" t="s">
        <v>261</v>
      </c>
      <c r="C134" s="361"/>
      <c r="D134" s="2293"/>
      <c r="E134" s="2038"/>
      <c r="F134" s="2202" t="str">
        <f>INDEX(PT_DIFFERENTIATION_VTAR,MATCH(A134,PT_DIFFERENTIATION_VTAR_ID,0))</f>
        <v>Тариф на транспортировку горячей воды</v>
      </c>
      <c r="G134" s="2248" t="str">
        <f>INDEX(PT_DIFFERENTIATION_NTAR,MATCH(B134,PT_DIFFERENTIATION_NTAR_ID,0))</f>
        <v/>
      </c>
      <c r="H134" s="1887"/>
      <c r="I134" s="1763"/>
      <c r="J134" s="1798"/>
      <c r="K134" s="1803"/>
      <c r="L134" s="1887" t="s">
        <v>311</v>
      </c>
      <c r="M134" s="329"/>
      <c r="N134" s="322"/>
      <c r="O134" s="1649"/>
      <c r="P134" s="1649"/>
    </row>
    <row s="1660" customFormat="1" customHeight="1" ht="18.75" hidden="1">
      <c r="A135" s="1805"/>
      <c r="B135" s="1805"/>
      <c r="C135" s="361" t="s">
        <v>1060</v>
      </c>
      <c r="D135" s="2293"/>
      <c r="E135" s="2038"/>
      <c r="F135" s="2202"/>
      <c r="G135" s="2248"/>
      <c r="H135" s="1517"/>
      <c r="I135" s="646" t="s">
        <v>1059</v>
      </c>
      <c r="J135" s="567"/>
      <c r="K135" s="1517"/>
      <c r="L135" s="193"/>
      <c r="M135" s="329"/>
      <c r="N135" s="322"/>
      <c r="O135" s="1649"/>
      <c r="P135" s="1649"/>
    </row>
    <row s="1660" customFormat="1" customHeight="1" ht="0.75" hidden="1">
      <c r="A136" s="1805"/>
      <c r="B136" s="1805"/>
      <c r="C136" s="361" t="s">
        <v>1067</v>
      </c>
      <c r="D136" s="2293"/>
      <c r="E136" s="2038"/>
      <c r="F136" s="2202"/>
      <c r="G136" s="397"/>
      <c r="H136" s="1517"/>
      <c r="I136" s="646"/>
      <c r="J136" s="567"/>
      <c r="K136" s="1517"/>
      <c r="L136" s="193"/>
      <c r="M136" s="329"/>
      <c r="N136" s="322"/>
      <c r="O136" s="1649"/>
      <c r="P136" s="1649"/>
    </row>
    <row s="1660" customFormat="1" customHeight="1" ht="18.75" hidden="1">
      <c r="A137" s="1805" t="s">
        <v>265</v>
      </c>
      <c r="B137" s="1805" t="s">
        <v>266</v>
      </c>
      <c r="C137" s="361"/>
      <c r="D137" s="2293"/>
      <c r="E137" s="2038"/>
      <c r="F137" s="2202" t="str">
        <f>INDEX(PT_DIFFERENTIATION_VTAR,MATCH(A137,PT_DIFFERENTIATION_VTAR_ID,0))</f>
        <v>Тариф на подключение (технологическое присоединение) к централизованной системе горячего водоснабжения</v>
      </c>
      <c r="G137" s="2248" t="str">
        <f>INDEX(PT_DIFFERENTIATION_NTAR,MATCH(B137,PT_DIFFERENTIATION_NTAR_ID,0))</f>
        <v/>
      </c>
      <c r="H137" s="1887"/>
      <c r="I137" s="1763"/>
      <c r="J137" s="1798"/>
      <c r="K137" s="1803"/>
      <c r="L137" s="1887" t="s">
        <v>311</v>
      </c>
      <c r="M137" s="329"/>
      <c r="N137" s="322"/>
      <c r="O137" s="1649"/>
      <c r="P137" s="1649"/>
    </row>
    <row s="1660" customFormat="1" customHeight="1" ht="18.75" hidden="1">
      <c r="A138" s="1805"/>
      <c r="B138" s="1805"/>
      <c r="C138" s="361" t="s">
        <v>1060</v>
      </c>
      <c r="D138" s="2293"/>
      <c r="E138" s="2038"/>
      <c r="F138" s="2202"/>
      <c r="G138" s="2248"/>
      <c r="H138" s="1517"/>
      <c r="I138" s="646" t="s">
        <v>1059</v>
      </c>
      <c r="J138" s="567"/>
      <c r="K138" s="1517"/>
      <c r="L138" s="193"/>
      <c r="M138" s="329"/>
      <c r="N138" s="322"/>
      <c r="O138" s="1649"/>
      <c r="P138" s="1649"/>
    </row>
    <row s="1660" customFormat="1" customHeight="1" ht="0.75" hidden="1">
      <c r="A139" s="1805"/>
      <c r="B139" s="1805"/>
      <c r="C139" s="361" t="s">
        <v>1067</v>
      </c>
      <c r="D139" s="2293"/>
      <c r="E139" s="2038"/>
      <c r="F139" s="2202"/>
      <c r="G139" s="397"/>
      <c r="H139" s="1517"/>
      <c r="I139" s="646"/>
      <c r="J139" s="567"/>
      <c r="K139" s="1517"/>
      <c r="L139" s="193"/>
      <c r="M139" s="329"/>
      <c r="N139" s="322"/>
      <c r="O139" s="1649"/>
      <c r="P139" s="1649"/>
    </row>
    <row s="1660" customFormat="1" customHeight="1" ht="18.75" hidden="1">
      <c r="A140" s="1805" t="s">
        <v>270</v>
      </c>
      <c r="B140" s="1805" t="s">
        <v>271</v>
      </c>
      <c r="C140" s="361"/>
      <c r="D140" s="2293"/>
      <c r="E140" s="2038"/>
      <c r="F140" s="2202" t="str">
        <f>INDEX(PT_DIFFERENTIATION_VTAR,MATCH(A140,PT_DIFFERENTIATION_VTAR_ID,0))</f>
        <v>Тариф на водоотведение</v>
      </c>
      <c r="G140" s="2248" t="str">
        <f>INDEX(PT_DIFFERENTIATION_NTAR,MATCH(B140,PT_DIFFERENTIATION_NTAR_ID,0))</f>
        <v/>
      </c>
      <c r="H140" s="1887"/>
      <c r="I140" s="1763"/>
      <c r="J140" s="1798"/>
      <c r="K140" s="1803"/>
      <c r="L140" s="1887" t="s">
        <v>311</v>
      </c>
      <c r="M140" s="329"/>
      <c r="N140" s="322"/>
      <c r="O140" s="1649"/>
      <c r="P140" s="1649"/>
    </row>
    <row s="1660" customFormat="1" customHeight="1" ht="18.75" hidden="1">
      <c r="A141" s="1805"/>
      <c r="B141" s="1805"/>
      <c r="C141" s="361" t="s">
        <v>1060</v>
      </c>
      <c r="D141" s="2293"/>
      <c r="E141" s="2038"/>
      <c r="F141" s="2202"/>
      <c r="G141" s="2248"/>
      <c r="H141" s="1517"/>
      <c r="I141" s="646" t="s">
        <v>1059</v>
      </c>
      <c r="J141" s="567"/>
      <c r="K141" s="1517"/>
      <c r="L141" s="193"/>
      <c r="M141" s="329"/>
      <c r="N141" s="322"/>
      <c r="O141" s="1649"/>
      <c r="P141" s="1649"/>
    </row>
    <row s="1660" customFormat="1" customHeight="1" ht="0.75" hidden="1">
      <c r="A142" s="1805"/>
      <c r="B142" s="1805"/>
      <c r="C142" s="361" t="s">
        <v>1067</v>
      </c>
      <c r="D142" s="2293"/>
      <c r="E142" s="2038"/>
      <c r="F142" s="2202"/>
      <c r="G142" s="397"/>
      <c r="H142" s="1517"/>
      <c r="I142" s="646"/>
      <c r="J142" s="567"/>
      <c r="K142" s="1517"/>
      <c r="L142" s="193"/>
      <c r="M142" s="329"/>
      <c r="N142" s="322"/>
      <c r="O142" s="1649"/>
      <c r="P142" s="1649"/>
    </row>
    <row s="1660" customFormat="1" customHeight="1" ht="18.75" hidden="1">
      <c r="A143" s="1805" t="s">
        <v>275</v>
      </c>
      <c r="B143" s="1805" t="s">
        <v>276</v>
      </c>
      <c r="C143" s="361"/>
      <c r="D143" s="2293"/>
      <c r="E143" s="2038"/>
      <c r="F143" s="2202" t="str">
        <f>INDEX(PT_DIFFERENTIATION_VTAR,MATCH(A143,PT_DIFFERENTIATION_VTAR_ID,0))</f>
        <v>Тариф на транспортировку сточных вод</v>
      </c>
      <c r="G143" s="2248" t="str">
        <f>INDEX(PT_DIFFERENTIATION_NTAR,MATCH(B143,PT_DIFFERENTIATION_NTAR_ID,0))</f>
        <v/>
      </c>
      <c r="H143" s="1887"/>
      <c r="I143" s="1763"/>
      <c r="J143" s="1798"/>
      <c r="K143" s="1803"/>
      <c r="L143" s="1887" t="s">
        <v>311</v>
      </c>
      <c r="M143" s="329"/>
      <c r="N143" s="322"/>
      <c r="O143" s="1649"/>
      <c r="P143" s="1649"/>
    </row>
    <row s="1660" customFormat="1" customHeight="1" ht="18.75" hidden="1">
      <c r="A144" s="1805"/>
      <c r="B144" s="1805"/>
      <c r="C144" s="361" t="s">
        <v>1060</v>
      </c>
      <c r="D144" s="2293"/>
      <c r="E144" s="2038"/>
      <c r="F144" s="2202"/>
      <c r="G144" s="2248"/>
      <c r="H144" s="1517"/>
      <c r="I144" s="646" t="s">
        <v>1059</v>
      </c>
      <c r="J144" s="567"/>
      <c r="K144" s="1517"/>
      <c r="L144" s="193"/>
      <c r="M144" s="329"/>
      <c r="N144" s="322"/>
      <c r="O144" s="1649"/>
      <c r="P144" s="1649"/>
    </row>
    <row s="1660" customFormat="1" customHeight="1" ht="0.75" hidden="1">
      <c r="A145" s="1805"/>
      <c r="B145" s="1805"/>
      <c r="C145" s="361" t="s">
        <v>1067</v>
      </c>
      <c r="D145" s="2293"/>
      <c r="E145" s="2038"/>
      <c r="F145" s="2202"/>
      <c r="G145" s="397"/>
      <c r="H145" s="1517"/>
      <c r="I145" s="646"/>
      <c r="J145" s="567"/>
      <c r="K145" s="1517"/>
      <c r="L145" s="193"/>
      <c r="M145" s="329"/>
      <c r="N145" s="322"/>
      <c r="O145" s="1649"/>
      <c r="P145" s="1649"/>
    </row>
    <row s="1660" customFormat="1" customHeight="1" ht="18.75" hidden="1">
      <c r="A146" s="1805" t="s">
        <v>280</v>
      </c>
      <c r="B146" s="1805" t="s">
        <v>281</v>
      </c>
      <c r="C146" s="361"/>
      <c r="D146" s="2293"/>
      <c r="E146" s="2038"/>
      <c r="F146" s="2202" t="str">
        <f>INDEX(PT_DIFFERENTIATION_VTAR,MATCH(A146,PT_DIFFERENTIATION_VTAR_ID,0))</f>
        <v>Тариф на подключение (технологическое присоединение) к централизованной системе водоотведения</v>
      </c>
      <c r="G146" s="2248" t="str">
        <f>INDEX(PT_DIFFERENTIATION_NTAR,MATCH(B146,PT_DIFFERENTIATION_NTAR_ID,0))</f>
        <v/>
      </c>
      <c r="H146" s="1887"/>
      <c r="I146" s="1763"/>
      <c r="J146" s="1798"/>
      <c r="K146" s="1803"/>
      <c r="L146" s="1887" t="s">
        <v>311</v>
      </c>
      <c r="M146" s="329"/>
      <c r="N146" s="322"/>
      <c r="O146" s="1649"/>
      <c r="P146" s="1649"/>
    </row>
    <row s="1660" customFormat="1" customHeight="1" ht="18.75" hidden="1">
      <c r="A147" s="1805"/>
      <c r="B147" s="1805"/>
      <c r="C147" s="361" t="s">
        <v>1060</v>
      </c>
      <c r="D147" s="2293"/>
      <c r="E147" s="2038"/>
      <c r="F147" s="2202"/>
      <c r="G147" s="2248"/>
      <c r="H147" s="1517"/>
      <c r="I147" s="646" t="s">
        <v>1059</v>
      </c>
      <c r="J147" s="567"/>
      <c r="K147" s="1517"/>
      <c r="L147" s="193"/>
      <c r="M147" s="329"/>
      <c r="N147" s="322"/>
      <c r="O147" s="1649"/>
      <c r="P147" s="1649"/>
    </row>
    <row s="1660" customFormat="1" customHeight="1" ht="0.75">
      <c r="A148" s="1805"/>
      <c r="B148" s="1805"/>
      <c r="C148" s="361" t="s">
        <v>1067</v>
      </c>
      <c r="D148" s="2293"/>
      <c r="E148" s="2038"/>
      <c r="F148" s="2202"/>
      <c r="G148" s="397"/>
      <c r="H148" s="1517"/>
      <c r="I148" s="646"/>
      <c r="J148" s="567"/>
      <c r="K148" s="1517"/>
      <c r="L148" s="193"/>
      <c r="M148" s="329"/>
      <c r="N148" s="322"/>
      <c r="O148" s="1649"/>
      <c r="P148" s="1649"/>
    </row>
    <row customHeight="1" ht="18.75">
      <c r="A149" s="1805"/>
      <c r="B149" s="1805"/>
      <c r="D149" s="368"/>
      <c r="E149" s="127" t="s">
        <v>90</v>
      </c>
      <c r="F149" s="2285"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9" s="2285"/>
      <c r="H149" s="2285"/>
      <c r="I149" s="2285"/>
      <c r="J149" s="2285"/>
      <c r="K149" s="2285"/>
      <c r="L149" s="2285"/>
      <c r="M149" s="277"/>
      <c r="N149" s="322"/>
    </row>
    <row s="1660" customFormat="1" customHeight="1" ht="60.75" hidden="1">
      <c r="A150" s="1805" t="s">
        <v>153</v>
      </c>
      <c r="B150" s="1805" t="s">
        <v>154</v>
      </c>
      <c r="C150" s="361"/>
      <c r="D150" s="2293"/>
      <c r="E150" s="2038"/>
      <c r="F150" s="2202" t="str">
        <f>INDEX(PT_DIFFERENTIATION_VTAR,MATCH(A150,PT_DIFFERENTIATION_VTAR_ID,0))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0" s="2248" t="str">
        <f>INDEX(PT_DIFFERENTIATION_NTAR,MATCH(B150,PT_DIFFERENTIATION_NTAR_ID,0))</f>
        <v/>
      </c>
      <c r="H150" s="1887"/>
      <c r="I150" s="1763"/>
      <c r="J150" s="1798"/>
      <c r="K150" s="1803"/>
      <c r="L150" s="1887" t="s">
        <v>311</v>
      </c>
      <c r="M150"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50" s="322"/>
      <c r="O150" s="1649"/>
      <c r="P150" s="1649"/>
    </row>
    <row s="1660" customFormat="1" customHeight="1" ht="18.75" hidden="1">
      <c r="A151" s="1805"/>
      <c r="B151" s="1805"/>
      <c r="C151" s="361" t="s">
        <v>1060</v>
      </c>
      <c r="D151" s="2293"/>
      <c r="E151" s="2038"/>
      <c r="F151" s="2202"/>
      <c r="G151" s="2248"/>
      <c r="H151" s="1517"/>
      <c r="I151" s="646" t="s">
        <v>1059</v>
      </c>
      <c r="J151" s="567"/>
      <c r="K151" s="1517"/>
      <c r="L151" s="193"/>
      <c r="M151" s="1998"/>
      <c r="N151" s="322"/>
      <c r="O151" s="1649"/>
      <c r="P151" s="1649"/>
    </row>
    <row s="1660" customFormat="1" customHeight="1" ht="0.75" hidden="1">
      <c r="A152" s="1805"/>
      <c r="B152" s="1805"/>
      <c r="C152" s="361" t="s">
        <v>1067</v>
      </c>
      <c r="D152" s="2293"/>
      <c r="E152" s="2038"/>
      <c r="F152" s="2202"/>
      <c r="G152" s="397"/>
      <c r="H152" s="1517"/>
      <c r="I152" s="646"/>
      <c r="J152" s="567"/>
      <c r="K152" s="1517"/>
      <c r="L152" s="193"/>
      <c r="M152" s="1998"/>
      <c r="N152" s="322"/>
      <c r="O152" s="1649"/>
      <c r="P152" s="1649"/>
    </row>
    <row s="1660" customFormat="1" customHeight="1" ht="45" hidden="1">
      <c r="A153" s="1805" t="s">
        <v>161</v>
      </c>
      <c r="B153" s="1805" t="s">
        <v>162</v>
      </c>
      <c r="C153" s="361"/>
      <c r="D153" s="2293"/>
      <c r="E153" s="2038"/>
      <c r="F153" s="2202" t="str">
        <f>INDEX(PT_DIFFERENTIATION_VTAR,MATCH(A153,PT_DIFFERENTIATION_VTAR_ID,0))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3" s="2248" t="str">
        <f>INDEX(PT_DIFFERENTIATION_NTAR,MATCH(B153,PT_DIFFERENTIATION_NTAR_ID,0))</f>
        <v>Тарифы на тепловую энергию, поставляемую обществом с ограниченной ответственностью "ПРОМ ИМПУЛЬС" потребителям, расположенным на территории Санкт-Петербурга</v>
      </c>
      <c r="H153" s="1887"/>
      <c r="I153" s="1763"/>
      <c r="J153" s="1798"/>
      <c r="K153" s="1803"/>
      <c r="L153" s="1887" t="s">
        <v>311</v>
      </c>
      <c r="M153" s="1999"/>
      <c r="N153" s="322"/>
      <c r="O153" s="1649"/>
      <c r="P153" s="1649"/>
    </row>
    <row s="1660" customFormat="1" customHeight="1" ht="18.75" hidden="1">
      <c r="A154" s="1805"/>
      <c r="B154" s="1805"/>
      <c r="C154" s="361" t="s">
        <v>1060</v>
      </c>
      <c r="D154" s="2293"/>
      <c r="E154" s="2038"/>
      <c r="F154" s="2202"/>
      <c r="G154" s="2248"/>
      <c r="H154" s="1517"/>
      <c r="I154" s="646" t="s">
        <v>1059</v>
      </c>
      <c r="J154" s="567"/>
      <c r="K154" s="1517"/>
      <c r="L154" s="193"/>
      <c r="M154" s="1886"/>
      <c r="N154" s="322"/>
      <c r="O154" s="1649"/>
      <c r="P154" s="1649"/>
    </row>
    <row s="1660" customFormat="1" customHeight="1" ht="18.75">
      <c r="A155" s="1848" t="s">
        <v>161</v>
      </c>
      <c r="B155" s="1848" t="s">
        <v>171</v>
      </c>
      <c r="C155" s="1712"/>
      <c r="D155" s="332"/>
      <c r="E155" s="1026"/>
      <c r="F155" s="1026"/>
      <c r="G155" s="2248" t="str">
        <f>INDEX(PT_DIFFERENTIATION_NTAR,MATCH(B155,PT_DIFFERENTIATION_NTAR_ID,0))</f>
        <v>Тарифы на тепловую энергию, поставляемую обществом с ограниченной ответственностью "ПРОМ ИМПУЛЬС" на коллекторах источников тепловой энергии потребителям, расположенным на территории Санкт-Петербурга</v>
      </c>
      <c r="H155" s="2066"/>
      <c r="I155" s="1763"/>
      <c r="J155" s="1798"/>
      <c r="K155" s="1803"/>
      <c r="L155" s="2066" t="s">
        <v>311</v>
      </c>
      <c r="M155" s="1900"/>
      <c r="N155" s="614"/>
      <c r="O155" s="1649"/>
      <c r="P155" s="1649"/>
      <c r="Q155" s="1660"/>
      <c r="R155" s="1660"/>
      <c r="S155" s="1660"/>
      <c r="T155" s="1660"/>
      <c r="U155" s="1660"/>
      <c r="V155" s="1660"/>
      <c r="W155" s="1660"/>
      <c r="X155" s="1660"/>
      <c r="Y155" s="1660"/>
      <c r="Z155" s="1660"/>
      <c r="AA155" s="1660"/>
      <c r="AB155" s="1660"/>
      <c r="AC155" s="1660"/>
      <c r="AD155" s="1660"/>
      <c r="AE155" s="1660"/>
      <c r="AF155" s="1660"/>
      <c r="AG155" s="1660"/>
    </row>
    <row s="1660" customFormat="1" customHeight="1" ht="18.75">
      <c r="A156" s="1848"/>
      <c r="B156" s="1848"/>
      <c r="C156" s="1712" t="s">
        <v>1060</v>
      </c>
      <c r="D156" s="332"/>
      <c r="E156" s="1026"/>
      <c r="F156" s="1026"/>
      <c r="G156" s="2248"/>
      <c r="H156" s="4078"/>
      <c r="I156" s="4079" t="s">
        <v>1059</v>
      </c>
      <c r="J156" s="4080"/>
      <c r="K156" s="4081"/>
      <c r="L156" s="4082"/>
      <c r="M156" s="1900"/>
      <c r="N156" s="614"/>
      <c r="O156" s="1649"/>
      <c r="P156" s="1649"/>
      <c r="Q156" s="1660"/>
      <c r="R156" s="1660"/>
      <c r="S156" s="1660"/>
      <c r="T156" s="1660"/>
      <c r="U156" s="1660"/>
      <c r="V156" s="1660"/>
      <c r="W156" s="1660"/>
      <c r="X156" s="1660"/>
      <c r="Y156" s="1660"/>
      <c r="Z156" s="1660"/>
      <c r="AA156" s="1660"/>
      <c r="AB156" s="1660"/>
      <c r="AC156" s="1660"/>
      <c r="AD156" s="1660"/>
      <c r="AE156" s="1660"/>
      <c r="AF156" s="1660"/>
      <c r="AG156" s="1660"/>
    </row>
    <row s="1660" customFormat="1" customHeight="1" ht="18.75">
      <c r="A157" s="1848" t="s">
        <v>161</v>
      </c>
      <c r="B157" s="1848" t="s">
        <v>176</v>
      </c>
      <c r="C157" s="1712"/>
      <c r="D157" s="332"/>
      <c r="E157" s="1026"/>
      <c r="F157" s="1026"/>
      <c r="G157" s="2248" t="str">
        <f>INDEX(PT_DIFFERENTIATION_NTAR,MATCH(B157,PT_DIFFERENTIATION_NTAR_ID,0))</f>
        <v>Льготный тариф на тепловую энергию</v>
      </c>
      <c r="H157" s="2066"/>
      <c r="I157" s="1763"/>
      <c r="J157" s="1798"/>
      <c r="K157" s="1803"/>
      <c r="L157" s="2066" t="s">
        <v>311</v>
      </c>
      <c r="M157" s="1900"/>
      <c r="N157" s="614"/>
      <c r="O157" s="1649"/>
      <c r="P157" s="1649"/>
      <c r="Q157" s="1660"/>
      <c r="R157" s="1660"/>
      <c r="S157" s="1660"/>
      <c r="T157" s="1660"/>
      <c r="U157" s="1660"/>
      <c r="V157" s="1660"/>
      <c r="W157" s="1660"/>
      <c r="X157" s="1660"/>
      <c r="Y157" s="1660"/>
      <c r="Z157" s="1660"/>
      <c r="AA157" s="1660"/>
      <c r="AB157" s="1660"/>
      <c r="AC157" s="1660"/>
      <c r="AD157" s="1660"/>
      <c r="AE157" s="1660"/>
      <c r="AF157" s="1660"/>
      <c r="AG157" s="1660"/>
    </row>
    <row s="1660" customFormat="1" customHeight="1" ht="18.75">
      <c r="A158" s="1848"/>
      <c r="B158" s="1848"/>
      <c r="C158" s="1712" t="s">
        <v>1060</v>
      </c>
      <c r="D158" s="332"/>
      <c r="E158" s="1026"/>
      <c r="F158" s="1026"/>
      <c r="G158" s="2248"/>
      <c r="H158" s="4083"/>
      <c r="I158" s="4084" t="s">
        <v>1059</v>
      </c>
      <c r="J158" s="4085"/>
      <c r="K158" s="4086"/>
      <c r="L158" s="4087"/>
      <c r="M158" s="1900"/>
      <c r="N158" s="614"/>
      <c r="O158" s="1649"/>
      <c r="P158" s="1649"/>
      <c r="Q158" s="1660"/>
      <c r="R158" s="1660"/>
      <c r="S158" s="1660"/>
      <c r="T158" s="1660"/>
      <c r="U158" s="1660"/>
      <c r="V158" s="1660"/>
      <c r="W158" s="1660"/>
      <c r="X158" s="1660"/>
      <c r="Y158" s="1660"/>
      <c r="Z158" s="1660"/>
      <c r="AA158" s="1660"/>
      <c r="AB158" s="1660"/>
      <c r="AC158" s="1660"/>
      <c r="AD158" s="1660"/>
      <c r="AE158" s="1660"/>
      <c r="AF158" s="1660"/>
      <c r="AG158" s="1660"/>
    </row>
    <row s="1660" customFormat="1" customHeight="1" ht="0.75" hidden="1">
      <c r="A159" s="1805"/>
      <c r="B159" s="1805"/>
      <c r="C159" s="361" t="s">
        <v>1067</v>
      </c>
      <c r="D159" s="2293"/>
      <c r="E159" s="2038"/>
      <c r="F159" s="2202"/>
      <c r="G159" s="397"/>
      <c r="H159" s="1517"/>
      <c r="I159" s="646"/>
      <c r="J159" s="567"/>
      <c r="K159" s="1517"/>
      <c r="L159" s="193"/>
      <c r="M159" s="329"/>
      <c r="N159" s="322"/>
      <c r="O159" s="1649"/>
      <c r="P159" s="1649"/>
    </row>
    <row s="1660" customFormat="1" customHeight="1" ht="45" hidden="1">
      <c r="A160" s="1805" t="s">
        <v>184</v>
      </c>
      <c r="B160" s="1805" t="s">
        <v>185</v>
      </c>
      <c r="C160" s="361"/>
      <c r="D160" s="2293"/>
      <c r="E160" s="2038"/>
      <c r="F160" s="2202" t="str">
        <f>INDEX(PT_DIFFERENTIATION_VTAR,MATCH(A160,PT_DIFFERENTIATION_VTAR_ID,0))</f>
        <v>Тарифы на теплоноситель, поставляемый теплоснабжающими организациями потребителям, другим теплоснабжающим организациям</v>
      </c>
      <c r="G160" s="2248" t="str">
        <f>INDEX(PT_DIFFERENTIATION_NTAR,MATCH(B160,PT_DIFFERENTIATION_NTAR_ID,0))</f>
        <v>Тариф на теплоноситель, поставляемый обществом с ограниченной ответственностью "ПРОМ ИМПУЛЬС" потребителям, расположенным на территории Санкт-Петербурга</v>
      </c>
      <c r="H160" s="1887"/>
      <c r="I160" s="1763"/>
      <c r="J160" s="1798"/>
      <c r="K160" s="1803"/>
      <c r="L160" s="1887" t="s">
        <v>311</v>
      </c>
      <c r="M160" s="329"/>
      <c r="N160" s="322"/>
      <c r="O160" s="1649"/>
      <c r="P160" s="1649"/>
    </row>
    <row s="1660" customFormat="1" customHeight="1" ht="18.75" hidden="1">
      <c r="A161" s="1805"/>
      <c r="B161" s="1805"/>
      <c r="C161" s="361" t="s">
        <v>1060</v>
      </c>
      <c r="D161" s="2293"/>
      <c r="E161" s="2038"/>
      <c r="F161" s="2202"/>
      <c r="G161" s="2248"/>
      <c r="H161" s="1517"/>
      <c r="I161" s="646" t="s">
        <v>1059</v>
      </c>
      <c r="J161" s="567"/>
      <c r="K161" s="1517"/>
      <c r="L161" s="193"/>
      <c r="M161" s="329"/>
      <c r="N161" s="322"/>
      <c r="O161" s="1649"/>
      <c r="P161" s="1649"/>
    </row>
    <row s="1660" customFormat="1" customHeight="1" ht="0.75" hidden="1">
      <c r="A162" s="1805"/>
      <c r="B162" s="1805"/>
      <c r="C162" s="361" t="s">
        <v>1067</v>
      </c>
      <c r="D162" s="2293"/>
      <c r="E162" s="2038"/>
      <c r="F162" s="2202"/>
      <c r="G162" s="397"/>
      <c r="H162" s="1517"/>
      <c r="I162" s="646"/>
      <c r="J162" s="567"/>
      <c r="K162" s="1517"/>
      <c r="L162" s="193"/>
      <c r="M162" s="329"/>
      <c r="N162" s="322"/>
      <c r="O162" s="1649"/>
      <c r="P162" s="1649"/>
    </row>
    <row s="1660" customFormat="1" customHeight="1" ht="45" hidden="1">
      <c r="A163" s="1805" t="s">
        <v>192</v>
      </c>
      <c r="B163" s="1805" t="s">
        <v>193</v>
      </c>
      <c r="C163" s="361"/>
      <c r="D163" s="2293"/>
      <c r="E163" s="2038"/>
      <c r="F163" s="2202" t="str">
        <f>INDEX(PT_DIFFERENTIATION_VTAR,MATCH(A163,PT_DIFFERENTIATION_VTAR_ID,0))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63" s="2248" t="str">
        <f>INDEX(PT_DIFFERENTIATION_NTAR,MATCH(B163,PT_DIFFERENTIATION_NTAR_ID,0))</f>
        <v>Тариф на горячую воду (горячее водоснабжение), поставляемую обществом с ограниченной ответственностью "ПРОМ ИМПУЛЬС" в открытых системах теплоснабжения потребителям, расположенным на территории Санкт-Петербурга</v>
      </c>
      <c r="H163" s="1887"/>
      <c r="I163" s="1763"/>
      <c r="J163" s="1798"/>
      <c r="K163" s="1803"/>
      <c r="L163" s="1887" t="s">
        <v>311</v>
      </c>
      <c r="M163" s="329"/>
      <c r="N163" s="322"/>
      <c r="O163" s="1649"/>
      <c r="P163" s="1649"/>
    </row>
    <row s="1660" customFormat="1" customHeight="1" ht="18.75" hidden="1">
      <c r="A164" s="1805"/>
      <c r="B164" s="1805"/>
      <c r="C164" s="361" t="s">
        <v>1060</v>
      </c>
      <c r="D164" s="2293"/>
      <c r="E164" s="2038"/>
      <c r="F164" s="2202"/>
      <c r="G164" s="2248"/>
      <c r="H164" s="1517"/>
      <c r="I164" s="646" t="s">
        <v>1059</v>
      </c>
      <c r="J164" s="567"/>
      <c r="K164" s="1517"/>
      <c r="L164" s="193"/>
      <c r="M164" s="329"/>
      <c r="N164" s="322"/>
      <c r="O164" s="1649"/>
      <c r="P164" s="1649"/>
    </row>
    <row s="1660" customFormat="1" customHeight="1" ht="0.75" hidden="1">
      <c r="A165" s="1805"/>
      <c r="B165" s="1805"/>
      <c r="C165" s="361" t="s">
        <v>1067</v>
      </c>
      <c r="D165" s="2293"/>
      <c r="E165" s="2038"/>
      <c r="F165" s="2202"/>
      <c r="G165" s="397"/>
      <c r="H165" s="1517"/>
      <c r="I165" s="646"/>
      <c r="J165" s="567"/>
      <c r="K165" s="1517"/>
      <c r="L165" s="193"/>
      <c r="M165" s="329"/>
      <c r="N165" s="322"/>
      <c r="O165" s="1649"/>
      <c r="P165" s="1649"/>
    </row>
    <row s="1660" customFormat="1" customHeight="1" ht="18.75" hidden="1">
      <c r="A166" s="1805" t="s">
        <v>198</v>
      </c>
      <c r="B166" s="1805" t="s">
        <v>199</v>
      </c>
      <c r="C166" s="361"/>
      <c r="D166" s="2293"/>
      <c r="E166" s="2038"/>
      <c r="F166" s="2202" t="str">
        <f>INDEX(PT_DIFFERENTIATION_VTAR,MATCH(A166,PT_DIFFERENTIATION_VTAR_ID,0))</f>
        <v>Тарифы на услуги по передаче тепловой энергии</v>
      </c>
      <c r="G166" s="2248" t="str">
        <f>INDEX(PT_DIFFERENTIATION_NTAR,MATCH(B166,PT_DIFFERENTIATION_NTAR_ID,0))</f>
        <v/>
      </c>
      <c r="H166" s="1887"/>
      <c r="I166" s="1763"/>
      <c r="J166" s="1798"/>
      <c r="K166" s="1803"/>
      <c r="L166" s="1887" t="s">
        <v>311</v>
      </c>
      <c r="M166" s="329"/>
      <c r="N166" s="322"/>
      <c r="O166" s="1649"/>
      <c r="P166" s="1649"/>
    </row>
    <row s="1660" customFormat="1" customHeight="1" ht="18.75" hidden="1">
      <c r="A167" s="1805"/>
      <c r="B167" s="1805"/>
      <c r="C167" s="361" t="s">
        <v>1060</v>
      </c>
      <c r="D167" s="2293"/>
      <c r="E167" s="2038"/>
      <c r="F167" s="2202"/>
      <c r="G167" s="2248"/>
      <c r="H167" s="1517"/>
      <c r="I167" s="646" t="s">
        <v>1059</v>
      </c>
      <c r="J167" s="567"/>
      <c r="K167" s="1517"/>
      <c r="L167" s="193"/>
      <c r="M167" s="329"/>
      <c r="N167" s="322"/>
      <c r="O167" s="1649"/>
      <c r="P167" s="1649"/>
    </row>
    <row s="1660" customFormat="1" customHeight="1" ht="0.75" hidden="1">
      <c r="A168" s="1805"/>
      <c r="B168" s="1805"/>
      <c r="C168" s="361" t="s">
        <v>1067</v>
      </c>
      <c r="D168" s="2293"/>
      <c r="E168" s="2038"/>
      <c r="F168" s="2202"/>
      <c r="G168" s="397"/>
      <c r="H168" s="1517"/>
      <c r="I168" s="646"/>
      <c r="J168" s="567"/>
      <c r="K168" s="1517"/>
      <c r="L168" s="193"/>
      <c r="M168" s="329"/>
      <c r="N168" s="322"/>
      <c r="O168" s="1649"/>
      <c r="P168" s="1649"/>
    </row>
    <row s="1660" customFormat="1" customHeight="1" ht="18.75" hidden="1">
      <c r="A169" s="1805" t="s">
        <v>204</v>
      </c>
      <c r="B169" s="1805" t="s">
        <v>205</v>
      </c>
      <c r="C169" s="361"/>
      <c r="D169" s="2293"/>
      <c r="E169" s="2038"/>
      <c r="F169" s="2202" t="str">
        <f>INDEX(PT_DIFFERENTIATION_VTAR,MATCH(A169,PT_DIFFERENTIATION_VTAR_ID,0))</f>
        <v>Тарифы на услуги по передаче теплоносителя</v>
      </c>
      <c r="G169" s="2248" t="str">
        <f>INDEX(PT_DIFFERENTIATION_NTAR,MATCH(B169,PT_DIFFERENTIATION_NTAR_ID,0))</f>
        <v/>
      </c>
      <c r="H169" s="1887"/>
      <c r="I169" s="1763"/>
      <c r="J169" s="1798"/>
      <c r="K169" s="1803"/>
      <c r="L169" s="1887" t="s">
        <v>311</v>
      </c>
      <c r="M169" s="329"/>
      <c r="N169" s="322"/>
      <c r="O169" s="1649"/>
      <c r="P169" s="1649"/>
    </row>
    <row s="1660" customFormat="1" customHeight="1" ht="18.75" hidden="1">
      <c r="A170" s="1805"/>
      <c r="B170" s="1805"/>
      <c r="C170" s="361" t="s">
        <v>1060</v>
      </c>
      <c r="D170" s="2293"/>
      <c r="E170" s="2038"/>
      <c r="F170" s="2202"/>
      <c r="G170" s="2248"/>
      <c r="H170" s="1517"/>
      <c r="I170" s="646" t="s">
        <v>1059</v>
      </c>
      <c r="J170" s="567"/>
      <c r="K170" s="1517"/>
      <c r="L170" s="193"/>
      <c r="M170" s="329"/>
      <c r="N170" s="322"/>
      <c r="O170" s="1649"/>
      <c r="P170" s="1649"/>
    </row>
    <row s="1660" customFormat="1" customHeight="1" ht="0.75" hidden="1">
      <c r="A171" s="1805"/>
      <c r="B171" s="1805"/>
      <c r="C171" s="361" t="s">
        <v>1067</v>
      </c>
      <c r="D171" s="2293"/>
      <c r="E171" s="2038"/>
      <c r="F171" s="2202"/>
      <c r="G171" s="397"/>
      <c r="H171" s="1517"/>
      <c r="I171" s="646"/>
      <c r="J171" s="567"/>
      <c r="K171" s="1517"/>
      <c r="L171" s="193"/>
      <c r="M171" s="329"/>
      <c r="N171" s="322"/>
      <c r="O171" s="1649"/>
      <c r="P171" s="1649"/>
    </row>
    <row s="1660" customFormat="1" customHeight="1" ht="18.75" hidden="1">
      <c r="A172" s="1805" t="s">
        <v>210</v>
      </c>
      <c r="B172" s="1805" t="s">
        <v>211</v>
      </c>
      <c r="C172" s="361"/>
      <c r="D172" s="2293"/>
      <c r="E172" s="2038"/>
      <c r="F172" s="2202" t="str">
        <f>INDEX(PT_DIFFERENTIATION_VTAR,MATCH(A172,PT_DIFFERENTIATION_VTAR_ID,0))</f>
        <v>Плата за услуги по поддержанию резервной тепловой мощности при отсутствии потребления тепловой энергии</v>
      </c>
      <c r="G172" s="2248" t="str">
        <f>INDEX(PT_DIFFERENTIATION_NTAR,MATCH(B172,PT_DIFFERENTIATION_NTAR_ID,0))</f>
        <v/>
      </c>
      <c r="H172" s="1887"/>
      <c r="I172" s="1763"/>
      <c r="J172" s="1798"/>
      <c r="K172" s="1803"/>
      <c r="L172" s="1887" t="s">
        <v>311</v>
      </c>
      <c r="M172" s="329"/>
      <c r="N172" s="322"/>
      <c r="O172" s="1649"/>
      <c r="P172" s="1649"/>
    </row>
    <row s="1660" customFormat="1" customHeight="1" ht="18.75" hidden="1">
      <c r="A173" s="1805"/>
      <c r="B173" s="1805"/>
      <c r="C173" s="361" t="s">
        <v>1060</v>
      </c>
      <c r="D173" s="2293"/>
      <c r="E173" s="2038"/>
      <c r="F173" s="2202"/>
      <c r="G173" s="2248"/>
      <c r="H173" s="1517"/>
      <c r="I173" s="646" t="s">
        <v>1059</v>
      </c>
      <c r="J173" s="567"/>
      <c r="K173" s="1517"/>
      <c r="L173" s="193"/>
      <c r="M173" s="329"/>
      <c r="N173" s="322"/>
      <c r="O173" s="1649"/>
      <c r="P173" s="1649"/>
    </row>
    <row s="1660" customFormat="1" customHeight="1" ht="0.75" hidden="1">
      <c r="A174" s="1805"/>
      <c r="B174" s="1805"/>
      <c r="C174" s="361" t="s">
        <v>1067</v>
      </c>
      <c r="D174" s="2293"/>
      <c r="E174" s="2038"/>
      <c r="F174" s="2202"/>
      <c r="G174" s="397"/>
      <c r="H174" s="1517"/>
      <c r="I174" s="646"/>
      <c r="J174" s="567"/>
      <c r="K174" s="1517"/>
      <c r="L174" s="193"/>
      <c r="M174" s="329"/>
      <c r="N174" s="322"/>
      <c r="O174" s="1649"/>
      <c r="P174" s="1649"/>
    </row>
    <row s="1660" customFormat="1" customHeight="1" ht="18.75" hidden="1">
      <c r="A175" s="1805" t="s">
        <v>216</v>
      </c>
      <c r="B175" s="1805" t="s">
        <v>217</v>
      </c>
      <c r="C175" s="361"/>
      <c r="D175" s="2293"/>
      <c r="E175" s="2038"/>
      <c r="F175" s="2202" t="str">
        <f>INDEX(PT_DIFFERENTIATION_VTAR,MATCH(A175,PT_DIFFERENTIATION_VTAR_ID,0))</f>
        <v>Плата за подключение (технологическое присоединение) к системе теплоснабжения</v>
      </c>
      <c r="G175" s="2248" t="str">
        <f>INDEX(PT_DIFFERENTIATION_NTAR,MATCH(B175,PT_DIFFERENTIATION_NTAR_ID,0))</f>
        <v/>
      </c>
      <c r="H175" s="1887"/>
      <c r="I175" s="1763"/>
      <c r="J175" s="1798"/>
      <c r="K175" s="1803"/>
      <c r="L175" s="1887" t="s">
        <v>311</v>
      </c>
      <c r="M175" s="329"/>
      <c r="N175" s="322"/>
      <c r="O175" s="1649"/>
      <c r="P175" s="1649"/>
    </row>
    <row s="1660" customFormat="1" customHeight="1" ht="18.75" hidden="1">
      <c r="A176" s="1805"/>
      <c r="B176" s="1805"/>
      <c r="C176" s="361" t="s">
        <v>1060</v>
      </c>
      <c r="D176" s="2293"/>
      <c r="E176" s="2038"/>
      <c r="F176" s="2202"/>
      <c r="G176" s="2248"/>
      <c r="H176" s="1517"/>
      <c r="I176" s="646" t="s">
        <v>1059</v>
      </c>
      <c r="J176" s="567"/>
      <c r="K176" s="1517"/>
      <c r="L176" s="193"/>
      <c r="M176" s="329"/>
      <c r="N176" s="322"/>
      <c r="O176" s="1649"/>
      <c r="P176" s="1649"/>
    </row>
    <row s="1660" customFormat="1" customHeight="1" ht="0.75" hidden="1">
      <c r="A177" s="1805"/>
      <c r="B177" s="1805"/>
      <c r="C177" s="361" t="s">
        <v>1067</v>
      </c>
      <c r="D177" s="2293"/>
      <c r="E177" s="2038"/>
      <c r="F177" s="2202"/>
      <c r="G177" s="397"/>
      <c r="H177" s="1517"/>
      <c r="I177" s="646"/>
      <c r="J177" s="567"/>
      <c r="K177" s="1517"/>
      <c r="L177" s="193"/>
      <c r="M177" s="329"/>
      <c r="N177" s="322"/>
      <c r="O177" s="1649"/>
      <c r="P177" s="1649"/>
    </row>
    <row s="1660" customFormat="1" customHeight="1" ht="18.75" hidden="1">
      <c r="A178" s="1805" t="s">
        <v>230</v>
      </c>
      <c r="B178" s="1805" t="s">
        <v>231</v>
      </c>
      <c r="C178" s="361"/>
      <c r="D178" s="2293"/>
      <c r="E178" s="2038"/>
      <c r="F178" s="2202" t="str">
        <f>INDEX(PT_DIFFERENTIATION_VTAR,MATCH(A178,PT_DIFFERENTIATION_VTAR_ID,0))</f>
        <v>Тариф на питьевую воду (питьевое водоснабжение)</v>
      </c>
      <c r="G178" s="2248" t="str">
        <f>INDEX(PT_DIFFERENTIATION_NTAR,MATCH(B178,PT_DIFFERENTIATION_NTAR_ID,0))</f>
        <v/>
      </c>
      <c r="H178" s="1887"/>
      <c r="I178" s="1763"/>
      <c r="J178" s="1798"/>
      <c r="K178" s="1803"/>
      <c r="L178" s="1887" t="s">
        <v>311</v>
      </c>
      <c r="M178" s="329"/>
      <c r="N178" s="322"/>
      <c r="O178" s="1649"/>
      <c r="P178" s="1649"/>
    </row>
    <row s="1660" customFormat="1" customHeight="1" ht="18.75" hidden="1">
      <c r="A179" s="1805"/>
      <c r="B179" s="1805"/>
      <c r="C179" s="361" t="s">
        <v>1060</v>
      </c>
      <c r="D179" s="2293"/>
      <c r="E179" s="2038"/>
      <c r="F179" s="2202"/>
      <c r="G179" s="2248"/>
      <c r="H179" s="1517"/>
      <c r="I179" s="646" t="s">
        <v>1059</v>
      </c>
      <c r="J179" s="567"/>
      <c r="K179" s="1517"/>
      <c r="L179" s="193"/>
      <c r="M179" s="329"/>
      <c r="N179" s="322"/>
      <c r="O179" s="1649"/>
      <c r="P179" s="1649"/>
    </row>
    <row s="1660" customFormat="1" customHeight="1" ht="0.75" hidden="1">
      <c r="A180" s="1805"/>
      <c r="B180" s="1805"/>
      <c r="C180" s="361" t="s">
        <v>1067</v>
      </c>
      <c r="D180" s="2293"/>
      <c r="E180" s="2038"/>
      <c r="F180" s="2202"/>
      <c r="G180" s="397"/>
      <c r="H180" s="1517"/>
      <c r="I180" s="646"/>
      <c r="J180" s="567"/>
      <c r="K180" s="1517"/>
      <c r="L180" s="193"/>
      <c r="M180" s="329"/>
      <c r="N180" s="322"/>
      <c r="O180" s="1649"/>
      <c r="P180" s="1649"/>
    </row>
    <row s="1660" customFormat="1" customHeight="1" ht="18.75" hidden="1">
      <c r="A181" s="1805" t="s">
        <v>235</v>
      </c>
      <c r="B181" s="1805" t="s">
        <v>236</v>
      </c>
      <c r="C181" s="361"/>
      <c r="D181" s="2293"/>
      <c r="E181" s="2038"/>
      <c r="F181" s="2202" t="str">
        <f>INDEX(PT_DIFFERENTIATION_VTAR,MATCH(A181,PT_DIFFERENTIATION_VTAR_ID,0))</f>
        <v>Тариф на техническую воду</v>
      </c>
      <c r="G181" s="2248" t="str">
        <f>INDEX(PT_DIFFERENTIATION_NTAR,MATCH(B181,PT_DIFFERENTIATION_NTAR_ID,0))</f>
        <v/>
      </c>
      <c r="H181" s="1887"/>
      <c r="I181" s="1763"/>
      <c r="J181" s="1798"/>
      <c r="K181" s="1803"/>
      <c r="L181" s="1887" t="s">
        <v>311</v>
      </c>
      <c r="M181" s="329"/>
      <c r="N181" s="322"/>
      <c r="O181" s="1649"/>
      <c r="P181" s="1649"/>
    </row>
    <row s="1660" customFormat="1" customHeight="1" ht="18.75" hidden="1">
      <c r="A182" s="1805"/>
      <c r="B182" s="1805"/>
      <c r="C182" s="361" t="s">
        <v>1060</v>
      </c>
      <c r="D182" s="2293"/>
      <c r="E182" s="2038"/>
      <c r="F182" s="2202"/>
      <c r="G182" s="2248"/>
      <c r="H182" s="1517"/>
      <c r="I182" s="646" t="s">
        <v>1059</v>
      </c>
      <c r="J182" s="567"/>
      <c r="K182" s="1517"/>
      <c r="L182" s="193"/>
      <c r="M182" s="329"/>
      <c r="N182" s="322"/>
      <c r="O182" s="1649"/>
      <c r="P182" s="1649"/>
    </row>
    <row s="1660" customFormat="1" customHeight="1" ht="0.75" hidden="1">
      <c r="A183" s="1805"/>
      <c r="B183" s="1805"/>
      <c r="C183" s="361" t="s">
        <v>1067</v>
      </c>
      <c r="D183" s="2293"/>
      <c r="E183" s="2038"/>
      <c r="F183" s="2202"/>
      <c r="G183" s="397"/>
      <c r="H183" s="1517"/>
      <c r="I183" s="646"/>
      <c r="J183" s="567"/>
      <c r="K183" s="1517"/>
      <c r="L183" s="193"/>
      <c r="M183" s="329"/>
      <c r="N183" s="322"/>
      <c r="O183" s="1649"/>
      <c r="P183" s="1649"/>
    </row>
    <row s="1660" customFormat="1" customHeight="1" ht="18.75" hidden="1">
      <c r="A184" s="1805" t="s">
        <v>240</v>
      </c>
      <c r="B184" s="1805" t="s">
        <v>241</v>
      </c>
      <c r="C184" s="361"/>
      <c r="D184" s="2293"/>
      <c r="E184" s="2038"/>
      <c r="F184" s="2202" t="str">
        <f>INDEX(PT_DIFFERENTIATION_VTAR,MATCH(A184,PT_DIFFERENTIATION_VTAR_ID,0))</f>
        <v>Тариф на транспортировку воды</v>
      </c>
      <c r="G184" s="2248" t="str">
        <f>INDEX(PT_DIFFERENTIATION_NTAR,MATCH(B184,PT_DIFFERENTIATION_NTAR_ID,0))</f>
        <v/>
      </c>
      <c r="H184" s="1887"/>
      <c r="I184" s="1763"/>
      <c r="J184" s="1798"/>
      <c r="K184" s="1803"/>
      <c r="L184" s="1887" t="s">
        <v>311</v>
      </c>
      <c r="M184" s="329"/>
      <c r="N184" s="322"/>
      <c r="O184" s="1649"/>
      <c r="P184" s="1649"/>
    </row>
    <row s="1660" customFormat="1" customHeight="1" ht="18.75" hidden="1">
      <c r="A185" s="1805"/>
      <c r="B185" s="1805"/>
      <c r="C185" s="361" t="s">
        <v>1060</v>
      </c>
      <c r="D185" s="2293"/>
      <c r="E185" s="2038"/>
      <c r="F185" s="2202"/>
      <c r="G185" s="2248"/>
      <c r="H185" s="1517"/>
      <c r="I185" s="646" t="s">
        <v>1059</v>
      </c>
      <c r="J185" s="567"/>
      <c r="K185" s="1517"/>
      <c r="L185" s="193"/>
      <c r="M185" s="329"/>
      <c r="N185" s="322"/>
      <c r="O185" s="1649"/>
      <c r="P185" s="1649"/>
    </row>
    <row s="1660" customFormat="1" customHeight="1" ht="0.75" hidden="1">
      <c r="A186" s="1805"/>
      <c r="B186" s="1805"/>
      <c r="C186" s="361" t="s">
        <v>1067</v>
      </c>
      <c r="D186" s="2293"/>
      <c r="E186" s="2038"/>
      <c r="F186" s="2202"/>
      <c r="G186" s="397"/>
      <c r="H186" s="1517"/>
      <c r="I186" s="646"/>
      <c r="J186" s="567"/>
      <c r="K186" s="1517"/>
      <c r="L186" s="193"/>
      <c r="M186" s="329"/>
      <c r="N186" s="322"/>
      <c r="O186" s="1649"/>
      <c r="P186" s="1649"/>
    </row>
    <row s="1660" customFormat="1" customHeight="1" ht="18.75" hidden="1">
      <c r="A187" s="1805" t="s">
        <v>245</v>
      </c>
      <c r="B187" s="1805" t="s">
        <v>246</v>
      </c>
      <c r="C187" s="361"/>
      <c r="D187" s="2293"/>
      <c r="E187" s="2038"/>
      <c r="F187" s="2202" t="str">
        <f>INDEX(PT_DIFFERENTIATION_VTAR,MATCH(A187,PT_DIFFERENTIATION_VTAR_ID,0))</f>
        <v>Тариф на подвоз воды</v>
      </c>
      <c r="G187" s="2248" t="str">
        <f>INDEX(PT_DIFFERENTIATION_NTAR,MATCH(B187,PT_DIFFERENTIATION_NTAR_ID,0))</f>
        <v/>
      </c>
      <c r="H187" s="1887"/>
      <c r="I187" s="1763"/>
      <c r="J187" s="1798"/>
      <c r="K187" s="1803"/>
      <c r="L187" s="1887" t="s">
        <v>311</v>
      </c>
      <c r="M187" s="329"/>
      <c r="N187" s="322"/>
      <c r="O187" s="1649"/>
      <c r="P187" s="1649"/>
    </row>
    <row s="1660" customFormat="1" customHeight="1" ht="18.75" hidden="1">
      <c r="A188" s="1805"/>
      <c r="B188" s="1805"/>
      <c r="C188" s="361" t="s">
        <v>1060</v>
      </c>
      <c r="D188" s="2293"/>
      <c r="E188" s="2038"/>
      <c r="F188" s="2202"/>
      <c r="G188" s="2248"/>
      <c r="H188" s="1517"/>
      <c r="I188" s="646" t="s">
        <v>1059</v>
      </c>
      <c r="J188" s="567"/>
      <c r="K188" s="1517"/>
      <c r="L188" s="193"/>
      <c r="M188" s="329"/>
      <c r="N188" s="322"/>
      <c r="O188" s="1649"/>
      <c r="P188" s="1649"/>
    </row>
    <row s="1660" customFormat="1" customHeight="1" ht="0.75" hidden="1">
      <c r="A189" s="1805"/>
      <c r="B189" s="1805"/>
      <c r="C189" s="361" t="s">
        <v>1067</v>
      </c>
      <c r="D189" s="2293"/>
      <c r="E189" s="2038"/>
      <c r="F189" s="2202"/>
      <c r="G189" s="397"/>
      <c r="H189" s="1517"/>
      <c r="I189" s="646"/>
      <c r="J189" s="567"/>
      <c r="K189" s="1517"/>
      <c r="L189" s="193"/>
      <c r="M189" s="329"/>
      <c r="N189" s="322"/>
      <c r="O189" s="1649"/>
      <c r="P189" s="1649"/>
    </row>
    <row s="1660" customFormat="1" customHeight="1" ht="18.75" hidden="1">
      <c r="A190" s="1805" t="s">
        <v>250</v>
      </c>
      <c r="B190" s="1805" t="s">
        <v>251</v>
      </c>
      <c r="C190" s="361"/>
      <c r="D190" s="2293"/>
      <c r="E190" s="2038"/>
      <c r="F190" s="2202" t="str">
        <f>INDEX(PT_DIFFERENTIATION_VTAR,MATCH(A190,PT_DIFFERENTIATION_VTAR_ID,0))</f>
        <v>Тариф на подключение (технологическое присоединение) к централизованной системе холодного водоснабжения</v>
      </c>
      <c r="G190" s="2248" t="str">
        <f>INDEX(PT_DIFFERENTIATION_NTAR,MATCH(B190,PT_DIFFERENTIATION_NTAR_ID,0))</f>
        <v/>
      </c>
      <c r="H190" s="1887"/>
      <c r="I190" s="1763"/>
      <c r="J190" s="1798"/>
      <c r="K190" s="1803"/>
      <c r="L190" s="1887" t="s">
        <v>311</v>
      </c>
      <c r="M190" s="329"/>
      <c r="N190" s="322"/>
      <c r="O190" s="1649"/>
      <c r="P190" s="1649"/>
    </row>
    <row s="1660" customFormat="1" customHeight="1" ht="18.75" hidden="1">
      <c r="A191" s="1805"/>
      <c r="B191" s="1805"/>
      <c r="C191" s="361" t="s">
        <v>1060</v>
      </c>
      <c r="D191" s="2293"/>
      <c r="E191" s="2038"/>
      <c r="F191" s="2202"/>
      <c r="G191" s="2248"/>
      <c r="H191" s="1517"/>
      <c r="I191" s="646" t="s">
        <v>1059</v>
      </c>
      <c r="J191" s="567"/>
      <c r="K191" s="1517"/>
      <c r="L191" s="193"/>
      <c r="M191" s="329"/>
      <c r="N191" s="322"/>
      <c r="O191" s="1649"/>
      <c r="P191" s="1649"/>
    </row>
    <row s="1660" customFormat="1" customHeight="1" ht="0.75" hidden="1">
      <c r="A192" s="1805"/>
      <c r="B192" s="1805"/>
      <c r="C192" s="361" t="s">
        <v>1067</v>
      </c>
      <c r="D192" s="2293"/>
      <c r="E192" s="2038"/>
      <c r="F192" s="2202"/>
      <c r="G192" s="397"/>
      <c r="H192" s="1517"/>
      <c r="I192" s="646"/>
      <c r="J192" s="567"/>
      <c r="K192" s="1517"/>
      <c r="L192" s="193"/>
      <c r="M192" s="329"/>
      <c r="N192" s="322"/>
      <c r="O192" s="1649"/>
      <c r="P192" s="1649"/>
    </row>
    <row s="1660" customFormat="1" customHeight="1" ht="18.75" hidden="1">
      <c r="A193" s="1805" t="s">
        <v>255</v>
      </c>
      <c r="B193" s="1805" t="s">
        <v>256</v>
      </c>
      <c r="C193" s="361"/>
      <c r="D193" s="2293"/>
      <c r="E193" s="2038"/>
      <c r="F193" s="2202" t="str">
        <f>INDEX(PT_DIFFERENTIATION_VTAR,MATCH(A193,PT_DIFFERENTIATION_VTAR_ID,0))</f>
        <v>Тариф на горячую воду (горячее водоснабжение)</v>
      </c>
      <c r="G193" s="2248" t="str">
        <f>INDEX(PT_DIFFERENTIATION_NTAR,MATCH(B193,PT_DIFFERENTIATION_NTAR_ID,0))</f>
        <v/>
      </c>
      <c r="H193" s="1887"/>
      <c r="I193" s="1763"/>
      <c r="J193" s="1798"/>
      <c r="K193" s="1803"/>
      <c r="L193" s="1887" t="s">
        <v>311</v>
      </c>
      <c r="M193" s="329"/>
      <c r="N193" s="322"/>
      <c r="O193" s="1649"/>
      <c r="P193" s="1649"/>
    </row>
    <row s="1660" customFormat="1" customHeight="1" ht="18.75" hidden="1">
      <c r="A194" s="1805"/>
      <c r="B194" s="1805"/>
      <c r="C194" s="361" t="s">
        <v>1060</v>
      </c>
      <c r="D194" s="2293"/>
      <c r="E194" s="2038"/>
      <c r="F194" s="2202"/>
      <c r="G194" s="2248"/>
      <c r="H194" s="1517"/>
      <c r="I194" s="646" t="s">
        <v>1059</v>
      </c>
      <c r="J194" s="567"/>
      <c r="K194" s="1517"/>
      <c r="L194" s="193"/>
      <c r="M194" s="329"/>
      <c r="N194" s="322"/>
      <c r="O194" s="1649"/>
      <c r="P194" s="1649"/>
    </row>
    <row s="1660" customFormat="1" customHeight="1" ht="0.75" hidden="1">
      <c r="A195" s="1805"/>
      <c r="B195" s="1805"/>
      <c r="C195" s="361" t="s">
        <v>1067</v>
      </c>
      <c r="D195" s="2293"/>
      <c r="E195" s="2038"/>
      <c r="F195" s="2202"/>
      <c r="G195" s="397"/>
      <c r="H195" s="1517"/>
      <c r="I195" s="646"/>
      <c r="J195" s="567"/>
      <c r="K195" s="1517"/>
      <c r="L195" s="193"/>
      <c r="M195" s="329"/>
      <c r="N195" s="322"/>
      <c r="O195" s="1649"/>
      <c r="P195" s="1649"/>
    </row>
    <row s="1660" customFormat="1" customHeight="1" ht="18.75" hidden="1">
      <c r="A196" s="1805" t="s">
        <v>260</v>
      </c>
      <c r="B196" s="1805" t="s">
        <v>261</v>
      </c>
      <c r="C196" s="361"/>
      <c r="D196" s="2293"/>
      <c r="E196" s="2038"/>
      <c r="F196" s="2202" t="str">
        <f>INDEX(PT_DIFFERENTIATION_VTAR,MATCH(A196,PT_DIFFERENTIATION_VTAR_ID,0))</f>
        <v>Тариф на транспортировку горячей воды</v>
      </c>
      <c r="G196" s="2248" t="str">
        <f>INDEX(PT_DIFFERENTIATION_NTAR,MATCH(B196,PT_DIFFERENTIATION_NTAR_ID,0))</f>
        <v/>
      </c>
      <c r="H196" s="1887"/>
      <c r="I196" s="1763"/>
      <c r="J196" s="1798"/>
      <c r="K196" s="1803"/>
      <c r="L196" s="1887" t="s">
        <v>311</v>
      </c>
      <c r="M196" s="329"/>
      <c r="N196" s="322"/>
      <c r="O196" s="1649"/>
      <c r="P196" s="1649"/>
    </row>
    <row s="1660" customFormat="1" customHeight="1" ht="18.75" hidden="1">
      <c r="A197" s="1805"/>
      <c r="B197" s="1805"/>
      <c r="C197" s="361" t="s">
        <v>1060</v>
      </c>
      <c r="D197" s="2293"/>
      <c r="E197" s="2038"/>
      <c r="F197" s="2202"/>
      <c r="G197" s="2248"/>
      <c r="H197" s="1517"/>
      <c r="I197" s="646" t="s">
        <v>1059</v>
      </c>
      <c r="J197" s="567"/>
      <c r="K197" s="1517"/>
      <c r="L197" s="193"/>
      <c r="M197" s="329"/>
      <c r="N197" s="322"/>
      <c r="O197" s="1649"/>
      <c r="P197" s="1649"/>
    </row>
    <row s="1660" customFormat="1" customHeight="1" ht="0.75" hidden="1">
      <c r="A198" s="1805"/>
      <c r="B198" s="1805"/>
      <c r="C198" s="361" t="s">
        <v>1067</v>
      </c>
      <c r="D198" s="2293"/>
      <c r="E198" s="2038"/>
      <c r="F198" s="2202"/>
      <c r="G198" s="397"/>
      <c r="H198" s="1517"/>
      <c r="I198" s="646"/>
      <c r="J198" s="567"/>
      <c r="K198" s="1517"/>
      <c r="L198" s="193"/>
      <c r="M198" s="329"/>
      <c r="N198" s="322"/>
      <c r="O198" s="1649"/>
      <c r="P198" s="1649"/>
    </row>
    <row s="1660" customFormat="1" customHeight="1" ht="18.75" hidden="1">
      <c r="A199" s="1805" t="s">
        <v>265</v>
      </c>
      <c r="B199" s="1805" t="s">
        <v>266</v>
      </c>
      <c r="C199" s="361"/>
      <c r="D199" s="2293"/>
      <c r="E199" s="2038"/>
      <c r="F199" s="2202" t="str">
        <f>INDEX(PT_DIFFERENTIATION_VTAR,MATCH(A199,PT_DIFFERENTIATION_VTAR_ID,0))</f>
        <v>Тариф на подключение (технологическое присоединение) к централизованной системе горячего водоснабжения</v>
      </c>
      <c r="G199" s="2248" t="str">
        <f>INDEX(PT_DIFFERENTIATION_NTAR,MATCH(B199,PT_DIFFERENTIATION_NTAR_ID,0))</f>
        <v/>
      </c>
      <c r="H199" s="1887"/>
      <c r="I199" s="1763"/>
      <c r="J199" s="1798"/>
      <c r="K199" s="1803"/>
      <c r="L199" s="1887" t="s">
        <v>311</v>
      </c>
      <c r="M199" s="329"/>
      <c r="N199" s="322"/>
      <c r="O199" s="1649"/>
      <c r="P199" s="1649"/>
    </row>
    <row s="1660" customFormat="1" customHeight="1" ht="18.75" hidden="1">
      <c r="A200" s="1805"/>
      <c r="B200" s="1805"/>
      <c r="C200" s="361" t="s">
        <v>1060</v>
      </c>
      <c r="D200" s="2293"/>
      <c r="E200" s="2038"/>
      <c r="F200" s="2202"/>
      <c r="G200" s="2248"/>
      <c r="H200" s="1517"/>
      <c r="I200" s="646" t="s">
        <v>1059</v>
      </c>
      <c r="J200" s="567"/>
      <c r="K200" s="1517"/>
      <c r="L200" s="193"/>
      <c r="M200" s="329"/>
      <c r="N200" s="322"/>
      <c r="O200" s="1649"/>
      <c r="P200" s="1649"/>
    </row>
    <row s="1660" customFormat="1" customHeight="1" ht="0.75" hidden="1">
      <c r="A201" s="1805"/>
      <c r="B201" s="1805"/>
      <c r="C201" s="361" t="s">
        <v>1067</v>
      </c>
      <c r="D201" s="2293"/>
      <c r="E201" s="2038"/>
      <c r="F201" s="2202"/>
      <c r="G201" s="397"/>
      <c r="H201" s="1517"/>
      <c r="I201" s="646"/>
      <c r="J201" s="567"/>
      <c r="K201" s="1517"/>
      <c r="L201" s="193"/>
      <c r="M201" s="329"/>
      <c r="N201" s="322"/>
      <c r="O201" s="1649"/>
      <c r="P201" s="1649"/>
    </row>
    <row s="1660" customFormat="1" customHeight="1" ht="18.75" hidden="1">
      <c r="A202" s="1805" t="s">
        <v>270</v>
      </c>
      <c r="B202" s="1805" t="s">
        <v>271</v>
      </c>
      <c r="C202" s="361"/>
      <c r="D202" s="2293"/>
      <c r="E202" s="2038"/>
      <c r="F202" s="2202" t="str">
        <f>INDEX(PT_DIFFERENTIATION_VTAR,MATCH(A202,PT_DIFFERENTIATION_VTAR_ID,0))</f>
        <v>Тариф на водоотведение</v>
      </c>
      <c r="G202" s="2248" t="str">
        <f>INDEX(PT_DIFFERENTIATION_NTAR,MATCH(B202,PT_DIFFERENTIATION_NTAR_ID,0))</f>
        <v/>
      </c>
      <c r="H202" s="1887"/>
      <c r="I202" s="1763"/>
      <c r="J202" s="1798"/>
      <c r="K202" s="1803"/>
      <c r="L202" s="1887" t="s">
        <v>311</v>
      </c>
      <c r="M202" s="329"/>
      <c r="N202" s="322"/>
      <c r="O202" s="1649"/>
      <c r="P202" s="1649"/>
    </row>
    <row s="1660" customFormat="1" customHeight="1" ht="18.75" hidden="1">
      <c r="A203" s="1805"/>
      <c r="B203" s="1805"/>
      <c r="C203" s="361" t="s">
        <v>1060</v>
      </c>
      <c r="D203" s="2293"/>
      <c r="E203" s="2038"/>
      <c r="F203" s="2202"/>
      <c r="G203" s="2248"/>
      <c r="H203" s="1517"/>
      <c r="I203" s="646" t="s">
        <v>1059</v>
      </c>
      <c r="J203" s="567"/>
      <c r="K203" s="1517"/>
      <c r="L203" s="193"/>
      <c r="M203" s="329"/>
      <c r="N203" s="322"/>
      <c r="O203" s="1649"/>
      <c r="P203" s="1649"/>
    </row>
    <row s="1660" customFormat="1" customHeight="1" ht="0.75" hidden="1">
      <c r="A204" s="1805"/>
      <c r="B204" s="1805"/>
      <c r="C204" s="361" t="s">
        <v>1067</v>
      </c>
      <c r="D204" s="2293"/>
      <c r="E204" s="2038"/>
      <c r="F204" s="2202"/>
      <c r="G204" s="397"/>
      <c r="H204" s="1517"/>
      <c r="I204" s="646"/>
      <c r="J204" s="567"/>
      <c r="K204" s="1517"/>
      <c r="L204" s="193"/>
      <c r="M204" s="329"/>
      <c r="N204" s="322"/>
      <c r="O204" s="1649"/>
      <c r="P204" s="1649"/>
    </row>
    <row s="1660" customFormat="1" customHeight="1" ht="18.75" hidden="1">
      <c r="A205" s="1805" t="s">
        <v>275</v>
      </c>
      <c r="B205" s="1805" t="s">
        <v>276</v>
      </c>
      <c r="C205" s="361"/>
      <c r="D205" s="2293"/>
      <c r="E205" s="2038"/>
      <c r="F205" s="2202" t="str">
        <f>INDEX(PT_DIFFERENTIATION_VTAR,MATCH(A205,PT_DIFFERENTIATION_VTAR_ID,0))</f>
        <v>Тариф на транспортировку сточных вод</v>
      </c>
      <c r="G205" s="2248" t="str">
        <f>INDEX(PT_DIFFERENTIATION_NTAR,MATCH(B205,PT_DIFFERENTIATION_NTAR_ID,0))</f>
        <v/>
      </c>
      <c r="H205" s="1887"/>
      <c r="I205" s="1763"/>
      <c r="J205" s="1798"/>
      <c r="K205" s="1803"/>
      <c r="L205" s="1887" t="s">
        <v>311</v>
      </c>
      <c r="M205" s="329"/>
      <c r="N205" s="322"/>
      <c r="O205" s="1649"/>
      <c r="P205" s="1649"/>
    </row>
    <row s="1660" customFormat="1" customHeight="1" ht="18.75" hidden="1">
      <c r="A206" s="1805"/>
      <c r="B206" s="1805"/>
      <c r="C206" s="361" t="s">
        <v>1060</v>
      </c>
      <c r="D206" s="2293"/>
      <c r="E206" s="2038"/>
      <c r="F206" s="2202"/>
      <c r="G206" s="2248"/>
      <c r="H206" s="1517"/>
      <c r="I206" s="646" t="s">
        <v>1059</v>
      </c>
      <c r="J206" s="567"/>
      <c r="K206" s="1517"/>
      <c r="L206" s="193"/>
      <c r="M206" s="329"/>
      <c r="N206" s="322"/>
      <c r="O206" s="1649"/>
      <c r="P206" s="1649"/>
    </row>
    <row s="1660" customFormat="1" customHeight="1" ht="0.75" hidden="1">
      <c r="A207" s="1805"/>
      <c r="B207" s="1805"/>
      <c r="C207" s="361" t="s">
        <v>1067</v>
      </c>
      <c r="D207" s="2293"/>
      <c r="E207" s="2038"/>
      <c r="F207" s="2202"/>
      <c r="G207" s="397"/>
      <c r="H207" s="1517"/>
      <c r="I207" s="646"/>
      <c r="J207" s="567"/>
      <c r="K207" s="1517"/>
      <c r="L207" s="193"/>
      <c r="M207" s="329"/>
      <c r="N207" s="322"/>
      <c r="O207" s="1649"/>
      <c r="P207" s="1649"/>
    </row>
    <row s="1660" customFormat="1" customHeight="1" ht="18.75" hidden="1">
      <c r="A208" s="1805" t="s">
        <v>280</v>
      </c>
      <c r="B208" s="1805" t="s">
        <v>281</v>
      </c>
      <c r="C208" s="361"/>
      <c r="D208" s="2293"/>
      <c r="E208" s="2038"/>
      <c r="F208" s="2202" t="str">
        <f>INDEX(PT_DIFFERENTIATION_VTAR,MATCH(A208,PT_DIFFERENTIATION_VTAR_ID,0))</f>
        <v>Тариф на подключение (технологическое присоединение) к централизованной системе водоотведения</v>
      </c>
      <c r="G208" s="2248" t="str">
        <f>INDEX(PT_DIFFERENTIATION_NTAR,MATCH(B208,PT_DIFFERENTIATION_NTAR_ID,0))</f>
        <v/>
      </c>
      <c r="H208" s="1887"/>
      <c r="I208" s="1763"/>
      <c r="J208" s="1798"/>
      <c r="K208" s="1803"/>
      <c r="L208" s="1887" t="s">
        <v>311</v>
      </c>
      <c r="M208" s="329"/>
      <c r="N208" s="322"/>
      <c r="O208" s="1649"/>
      <c r="P208" s="1649"/>
    </row>
    <row s="1660" customFormat="1" customHeight="1" ht="18.75" hidden="1">
      <c r="A209" s="1805"/>
      <c r="B209" s="1805"/>
      <c r="C209" s="361" t="s">
        <v>1060</v>
      </c>
      <c r="D209" s="2293"/>
      <c r="E209" s="2038"/>
      <c r="F209" s="2202"/>
      <c r="G209" s="2248"/>
      <c r="H209" s="1517"/>
      <c r="I209" s="646" t="s">
        <v>1059</v>
      </c>
      <c r="J209" s="567"/>
      <c r="K209" s="1517"/>
      <c r="L209" s="193"/>
      <c r="M209" s="329"/>
      <c r="N209" s="322"/>
      <c r="O209" s="1649"/>
      <c r="P209" s="1649"/>
    </row>
    <row s="1660" customFormat="1" customHeight="1" ht="0.75">
      <c r="A210" s="1805"/>
      <c r="B210" s="1805"/>
      <c r="C210" s="361" t="s">
        <v>1067</v>
      </c>
      <c r="D210" s="2293"/>
      <c r="E210" s="2038"/>
      <c r="F210" s="2202"/>
      <c r="G210" s="397"/>
      <c r="H210" s="1517"/>
      <c r="I210" s="646"/>
      <c r="J210" s="567"/>
      <c r="K210" s="1517"/>
      <c r="L210" s="193"/>
      <c r="M210" s="329"/>
      <c r="N210" s="322"/>
      <c r="O210" s="1649"/>
      <c r="P210" s="1649"/>
    </row>
    <row customHeight="1" ht="26.25">
      <c r="A211" s="1805"/>
      <c r="B211" s="1805"/>
      <c r="D211" s="368"/>
      <c r="E211" s="127" t="s">
        <v>110</v>
      </c>
      <c r="F211" s="228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11" s="2285"/>
      <c r="H211" s="2285"/>
      <c r="I211" s="2285"/>
      <c r="J211" s="2285"/>
      <c r="K211" s="2285"/>
      <c r="L211" s="2285"/>
      <c r="M211" s="277"/>
      <c r="N211" s="322"/>
    </row>
    <row s="1660" customFormat="1" customHeight="1" ht="60.75" hidden="1">
      <c r="A212" s="1805" t="s">
        <v>153</v>
      </c>
      <c r="B212" s="1805" t="s">
        <v>154</v>
      </c>
      <c r="C212" s="361"/>
      <c r="D212" s="2293"/>
      <c r="E212" s="2038"/>
      <c r="F212" s="2202" t="str">
        <f>INDEX(PT_DIFFERENTIATION_VTAR,MATCH(A212,PT_DIFFERENTIATION_VTAR_ID,0))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12" s="2248" t="str">
        <f>INDEX(PT_DIFFERENTIATION_NTAR,MATCH(B212,PT_DIFFERENTIATION_NTAR_ID,0))</f>
        <v/>
      </c>
      <c r="H212" s="1887"/>
      <c r="I212" s="1763"/>
      <c r="J212" s="1798"/>
      <c r="K212" s="1803"/>
      <c r="L212" s="1887" t="s">
        <v>311</v>
      </c>
      <c r="M212"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12" s="322"/>
      <c r="O212" s="1649"/>
      <c r="P212" s="1649"/>
    </row>
    <row s="1660" customFormat="1" customHeight="1" ht="18.75" hidden="1">
      <c r="A213" s="1805"/>
      <c r="B213" s="1805"/>
      <c r="C213" s="361" t="s">
        <v>1060</v>
      </c>
      <c r="D213" s="2293"/>
      <c r="E213" s="2038"/>
      <c r="F213" s="2202"/>
      <c r="G213" s="2248"/>
      <c r="H213" s="1517"/>
      <c r="I213" s="646" t="s">
        <v>1059</v>
      </c>
      <c r="J213" s="567"/>
      <c r="K213" s="1517"/>
      <c r="L213" s="193"/>
      <c r="M213" s="1998"/>
      <c r="N213" s="322"/>
      <c r="O213" s="1649"/>
      <c r="P213" s="1649"/>
    </row>
    <row s="1660" customFormat="1" customHeight="1" ht="0.75" hidden="1">
      <c r="A214" s="1805"/>
      <c r="B214" s="1805"/>
      <c r="C214" s="361" t="s">
        <v>1067</v>
      </c>
      <c r="D214" s="2293"/>
      <c r="E214" s="2038"/>
      <c r="F214" s="2202"/>
      <c r="G214" s="397"/>
      <c r="H214" s="1517"/>
      <c r="I214" s="646"/>
      <c r="J214" s="567"/>
      <c r="K214" s="1517"/>
      <c r="L214" s="193"/>
      <c r="M214" s="1998"/>
      <c r="N214" s="322"/>
      <c r="O214" s="1649"/>
      <c r="P214" s="1649"/>
    </row>
    <row s="1660" customFormat="1" customHeight="1" ht="45" hidden="1">
      <c r="A215" s="1805" t="s">
        <v>161</v>
      </c>
      <c r="B215" s="1805" t="s">
        <v>162</v>
      </c>
      <c r="C215" s="361"/>
      <c r="D215" s="2293"/>
      <c r="E215" s="2038"/>
      <c r="F215" s="2202" t="str">
        <f>INDEX(PT_DIFFERENTIATION_VTAR,MATCH(A215,PT_DIFFERENTIATION_VTAR_ID,0))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5" s="2248" t="str">
        <f>INDEX(PT_DIFFERENTIATION_NTAR,MATCH(B215,PT_DIFFERENTIATION_NTAR_ID,0))</f>
        <v>Тарифы на тепловую энергию, поставляемую обществом с ограниченной ответственностью "ПРОМ ИМПУЛЬС" потребителям, расположенным на территории Санкт-Петербурга</v>
      </c>
      <c r="H215" s="1887"/>
      <c r="I215" s="1763"/>
      <c r="J215" s="1798"/>
      <c r="K215" s="1803"/>
      <c r="L215" s="1887" t="s">
        <v>311</v>
      </c>
      <c r="M215" s="1999"/>
      <c r="N215" s="322"/>
      <c r="O215" s="1649"/>
      <c r="P215" s="1649"/>
    </row>
    <row s="1660" customFormat="1" customHeight="1" ht="18.75" hidden="1">
      <c r="A216" s="1805"/>
      <c r="B216" s="1805"/>
      <c r="C216" s="361" t="s">
        <v>1060</v>
      </c>
      <c r="D216" s="2293"/>
      <c r="E216" s="2038"/>
      <c r="F216" s="2202"/>
      <c r="G216" s="2248"/>
      <c r="H216" s="1517"/>
      <c r="I216" s="646" t="s">
        <v>1059</v>
      </c>
      <c r="J216" s="567"/>
      <c r="K216" s="1517"/>
      <c r="L216" s="193"/>
      <c r="M216" s="1886"/>
      <c r="N216" s="322"/>
      <c r="O216" s="1649"/>
      <c r="P216" s="1649"/>
    </row>
    <row s="1660" customFormat="1" customHeight="1" ht="18.75">
      <c r="A217" s="1848" t="s">
        <v>161</v>
      </c>
      <c r="B217" s="1848" t="s">
        <v>171</v>
      </c>
      <c r="C217" s="1712"/>
      <c r="D217" s="332"/>
      <c r="E217" s="1026"/>
      <c r="F217" s="1026"/>
      <c r="G217" s="2248" t="str">
        <f>INDEX(PT_DIFFERENTIATION_NTAR,MATCH(B217,PT_DIFFERENTIATION_NTAR_ID,0))</f>
        <v>Тарифы на тепловую энергию, поставляемую обществом с ограниченной ответственностью "ПРОМ ИМПУЛЬС" на коллекторах источников тепловой энергии потребителям, расположенным на территории Санкт-Петербурга</v>
      </c>
      <c r="H217" s="2066"/>
      <c r="I217" s="1763"/>
      <c r="J217" s="1798"/>
      <c r="K217" s="1803"/>
      <c r="L217" s="2066" t="s">
        <v>311</v>
      </c>
      <c r="M217" s="1900"/>
      <c r="N217" s="614"/>
      <c r="O217" s="1649"/>
      <c r="P217" s="1649"/>
      <c r="Q217" s="1660"/>
      <c r="R217" s="1660"/>
      <c r="S217" s="1660"/>
      <c r="T217" s="1660"/>
      <c r="U217" s="1660"/>
      <c r="V217" s="1660"/>
      <c r="W217" s="1660"/>
      <c r="X217" s="1660"/>
      <c r="Y217" s="1660"/>
      <c r="Z217" s="1660"/>
      <c r="AA217" s="1660"/>
      <c r="AB217" s="1660"/>
      <c r="AC217" s="1660"/>
      <c r="AD217" s="1660"/>
      <c r="AE217" s="1660"/>
      <c r="AF217" s="1660"/>
      <c r="AG217" s="1660"/>
    </row>
    <row s="1660" customFormat="1" customHeight="1" ht="18.75">
      <c r="A218" s="1848"/>
      <c r="B218" s="1848"/>
      <c r="C218" s="1712" t="s">
        <v>1060</v>
      </c>
      <c r="D218" s="332"/>
      <c r="E218" s="1026"/>
      <c r="F218" s="1026"/>
      <c r="G218" s="2248"/>
      <c r="H218" s="4088"/>
      <c r="I218" s="4089" t="s">
        <v>1059</v>
      </c>
      <c r="J218" s="4090"/>
      <c r="K218" s="4091"/>
      <c r="L218" s="4092"/>
      <c r="M218" s="1900"/>
      <c r="N218" s="614"/>
      <c r="O218" s="1649"/>
      <c r="P218" s="1649"/>
      <c r="Q218" s="1660"/>
      <c r="R218" s="1660"/>
      <c r="S218" s="1660"/>
      <c r="T218" s="1660"/>
      <c r="U218" s="1660"/>
      <c r="V218" s="1660"/>
      <c r="W218" s="1660"/>
      <c r="X218" s="1660"/>
      <c r="Y218" s="1660"/>
      <c r="Z218" s="1660"/>
      <c r="AA218" s="1660"/>
      <c r="AB218" s="1660"/>
      <c r="AC218" s="1660"/>
      <c r="AD218" s="1660"/>
      <c r="AE218" s="1660"/>
      <c r="AF218" s="1660"/>
      <c r="AG218" s="1660"/>
    </row>
    <row s="1660" customFormat="1" customHeight="1" ht="18.75">
      <c r="A219" s="1848" t="s">
        <v>161</v>
      </c>
      <c r="B219" s="1848" t="s">
        <v>176</v>
      </c>
      <c r="C219" s="1712"/>
      <c r="D219" s="332"/>
      <c r="E219" s="1026"/>
      <c r="F219" s="1026"/>
      <c r="G219" s="2248" t="str">
        <f>INDEX(PT_DIFFERENTIATION_NTAR,MATCH(B219,PT_DIFFERENTIATION_NTAR_ID,0))</f>
        <v>Льготный тариф на тепловую энергию</v>
      </c>
      <c r="H219" s="2066"/>
      <c r="I219" s="1763"/>
      <c r="J219" s="1798"/>
      <c r="K219" s="1803"/>
      <c r="L219" s="2066" t="s">
        <v>311</v>
      </c>
      <c r="M219" s="1900"/>
      <c r="N219" s="614"/>
      <c r="O219" s="1649"/>
      <c r="P219" s="1649"/>
      <c r="Q219" s="1660"/>
      <c r="R219" s="1660"/>
      <c r="S219" s="1660"/>
      <c r="T219" s="1660"/>
      <c r="U219" s="1660"/>
      <c r="V219" s="1660"/>
      <c r="W219" s="1660"/>
      <c r="X219" s="1660"/>
      <c r="Y219" s="1660"/>
      <c r="Z219" s="1660"/>
      <c r="AA219" s="1660"/>
      <c r="AB219" s="1660"/>
      <c r="AC219" s="1660"/>
      <c r="AD219" s="1660"/>
      <c r="AE219" s="1660"/>
      <c r="AF219" s="1660"/>
      <c r="AG219" s="1660"/>
    </row>
    <row s="1660" customFormat="1" customHeight="1" ht="18.75">
      <c r="A220" s="1848"/>
      <c r="B220" s="1848"/>
      <c r="C220" s="1712" t="s">
        <v>1060</v>
      </c>
      <c r="D220" s="332"/>
      <c r="E220" s="1026"/>
      <c r="F220" s="1026"/>
      <c r="G220" s="2248"/>
      <c r="H220" s="4093"/>
      <c r="I220" s="4094" t="s">
        <v>1059</v>
      </c>
      <c r="J220" s="4095"/>
      <c r="K220" s="4096"/>
      <c r="L220" s="4097"/>
      <c r="M220" s="1900"/>
      <c r="N220" s="614"/>
      <c r="O220" s="1649"/>
      <c r="P220" s="1649"/>
      <c r="Q220" s="1660"/>
      <c r="R220" s="1660"/>
      <c r="S220" s="1660"/>
      <c r="T220" s="1660"/>
      <c r="U220" s="1660"/>
      <c r="V220" s="1660"/>
      <c r="W220" s="1660"/>
      <c r="X220" s="1660"/>
      <c r="Y220" s="1660"/>
      <c r="Z220" s="1660"/>
      <c r="AA220" s="1660"/>
      <c r="AB220" s="1660"/>
      <c r="AC220" s="1660"/>
      <c r="AD220" s="1660"/>
      <c r="AE220" s="1660"/>
      <c r="AF220" s="1660"/>
      <c r="AG220" s="1660"/>
    </row>
    <row s="1660" customFormat="1" customHeight="1" ht="0.75" hidden="1">
      <c r="A221" s="1805"/>
      <c r="B221" s="1805"/>
      <c r="C221" s="361" t="s">
        <v>1067</v>
      </c>
      <c r="D221" s="2293"/>
      <c r="E221" s="2038"/>
      <c r="F221" s="2202"/>
      <c r="G221" s="397"/>
      <c r="H221" s="1517"/>
      <c r="I221" s="646"/>
      <c r="J221" s="567"/>
      <c r="K221" s="1517"/>
      <c r="L221" s="193"/>
      <c r="M221" s="329"/>
      <c r="N221" s="322"/>
      <c r="O221" s="1649"/>
      <c r="P221" s="1649"/>
    </row>
    <row s="1660" customFormat="1" customHeight="1" ht="45" hidden="1">
      <c r="A222" s="1805" t="s">
        <v>184</v>
      </c>
      <c r="B222" s="1805" t="s">
        <v>185</v>
      </c>
      <c r="C222" s="361"/>
      <c r="D222" s="2293"/>
      <c r="E222" s="2038"/>
      <c r="F222" s="2202" t="str">
        <f>INDEX(PT_DIFFERENTIATION_VTAR,MATCH(A222,PT_DIFFERENTIATION_VTAR_ID,0))</f>
        <v>Тарифы на теплоноситель, поставляемый теплоснабжающими организациями потребителям, другим теплоснабжающим организациям</v>
      </c>
      <c r="G222" s="2248" t="str">
        <f>INDEX(PT_DIFFERENTIATION_NTAR,MATCH(B222,PT_DIFFERENTIATION_NTAR_ID,0))</f>
        <v>Тариф на теплоноситель, поставляемый обществом с ограниченной ответственностью "ПРОМ ИМПУЛЬС" потребителям, расположенным на территории Санкт-Петербурга</v>
      </c>
      <c r="H222" s="1887"/>
      <c r="I222" s="1763"/>
      <c r="J222" s="1798"/>
      <c r="K222" s="1803"/>
      <c r="L222" s="1887" t="s">
        <v>311</v>
      </c>
      <c r="M222" s="329"/>
      <c r="N222" s="322"/>
      <c r="O222" s="1649"/>
      <c r="P222" s="1649"/>
    </row>
    <row s="1660" customFormat="1" customHeight="1" ht="18.75" hidden="1">
      <c r="A223" s="1805"/>
      <c r="B223" s="1805"/>
      <c r="C223" s="361" t="s">
        <v>1060</v>
      </c>
      <c r="D223" s="2293"/>
      <c r="E223" s="2038"/>
      <c r="F223" s="2202"/>
      <c r="G223" s="2248"/>
      <c r="H223" s="1517"/>
      <c r="I223" s="646" t="s">
        <v>1059</v>
      </c>
      <c r="J223" s="567"/>
      <c r="K223" s="1517"/>
      <c r="L223" s="193"/>
      <c r="M223" s="329"/>
      <c r="N223" s="322"/>
      <c r="O223" s="1649"/>
      <c r="P223" s="1649"/>
    </row>
    <row s="1660" customFormat="1" customHeight="1" ht="0.75" hidden="1">
      <c r="A224" s="1805"/>
      <c r="B224" s="1805"/>
      <c r="C224" s="361" t="s">
        <v>1067</v>
      </c>
      <c r="D224" s="2293"/>
      <c r="E224" s="2038"/>
      <c r="F224" s="2202"/>
      <c r="G224" s="397"/>
      <c r="H224" s="1517"/>
      <c r="I224" s="646"/>
      <c r="J224" s="567"/>
      <c r="K224" s="1517"/>
      <c r="L224" s="193"/>
      <c r="M224" s="329"/>
      <c r="N224" s="322"/>
      <c r="O224" s="1649"/>
      <c r="P224" s="1649"/>
    </row>
    <row s="1660" customFormat="1" customHeight="1" ht="45" hidden="1">
      <c r="A225" s="1805" t="s">
        <v>192</v>
      </c>
      <c r="B225" s="1805" t="s">
        <v>193</v>
      </c>
      <c r="C225" s="361"/>
      <c r="D225" s="2293"/>
      <c r="E225" s="2038"/>
      <c r="F225" s="2202" t="str">
        <f>INDEX(PT_DIFFERENTIATION_VTAR,MATCH(A225,PT_DIFFERENTIATION_VTAR_ID,0))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25" s="2248" t="str">
        <f>INDEX(PT_DIFFERENTIATION_NTAR,MATCH(B225,PT_DIFFERENTIATION_NTAR_ID,0))</f>
        <v>Тариф на горячую воду (горячее водоснабжение), поставляемую обществом с ограниченной ответственностью "ПРОМ ИМПУЛЬС" в открытых системах теплоснабжения потребителям, расположенным на территории Санкт-Петербурга</v>
      </c>
      <c r="H225" s="1887"/>
      <c r="I225" s="1763"/>
      <c r="J225" s="1798"/>
      <c r="K225" s="1803"/>
      <c r="L225" s="1887" t="s">
        <v>311</v>
      </c>
      <c r="M225" s="329"/>
      <c r="N225" s="322"/>
      <c r="O225" s="1649"/>
      <c r="P225" s="1649"/>
    </row>
    <row s="1660" customFormat="1" customHeight="1" ht="18.75" hidden="1">
      <c r="A226" s="1805"/>
      <c r="B226" s="1805"/>
      <c r="C226" s="361" t="s">
        <v>1060</v>
      </c>
      <c r="D226" s="2293"/>
      <c r="E226" s="2038"/>
      <c r="F226" s="2202"/>
      <c r="G226" s="2248"/>
      <c r="H226" s="1517"/>
      <c r="I226" s="646" t="s">
        <v>1059</v>
      </c>
      <c r="J226" s="567"/>
      <c r="K226" s="1517"/>
      <c r="L226" s="193"/>
      <c r="M226" s="329"/>
      <c r="N226" s="322"/>
      <c r="O226" s="1649"/>
      <c r="P226" s="1649"/>
    </row>
    <row s="1660" customFormat="1" customHeight="1" ht="0.75" hidden="1">
      <c r="A227" s="1805"/>
      <c r="B227" s="1805"/>
      <c r="C227" s="361" t="s">
        <v>1067</v>
      </c>
      <c r="D227" s="2293"/>
      <c r="E227" s="2038"/>
      <c r="F227" s="2202"/>
      <c r="G227" s="397"/>
      <c r="H227" s="1517"/>
      <c r="I227" s="646"/>
      <c r="J227" s="567"/>
      <c r="K227" s="1517"/>
      <c r="L227" s="193"/>
      <c r="M227" s="329"/>
      <c r="N227" s="322"/>
      <c r="O227" s="1649"/>
      <c r="P227" s="1649"/>
    </row>
    <row s="1660" customFormat="1" customHeight="1" ht="18.75" hidden="1">
      <c r="A228" s="1805" t="s">
        <v>198</v>
      </c>
      <c r="B228" s="1805" t="s">
        <v>199</v>
      </c>
      <c r="C228" s="361"/>
      <c r="D228" s="2293"/>
      <c r="E228" s="2038"/>
      <c r="F228" s="2202" t="str">
        <f>INDEX(PT_DIFFERENTIATION_VTAR,MATCH(A228,PT_DIFFERENTIATION_VTAR_ID,0))</f>
        <v>Тарифы на услуги по передаче тепловой энергии</v>
      </c>
      <c r="G228" s="2248" t="str">
        <f>INDEX(PT_DIFFERENTIATION_NTAR,MATCH(B228,PT_DIFFERENTIATION_NTAR_ID,0))</f>
        <v/>
      </c>
      <c r="H228" s="1887"/>
      <c r="I228" s="1763"/>
      <c r="J228" s="1798"/>
      <c r="K228" s="1803"/>
      <c r="L228" s="1887" t="s">
        <v>311</v>
      </c>
      <c r="M228" s="329"/>
      <c r="N228" s="322"/>
      <c r="O228" s="1649"/>
      <c r="P228" s="1649"/>
    </row>
    <row s="1660" customFormat="1" customHeight="1" ht="18.75" hidden="1">
      <c r="A229" s="1805"/>
      <c r="B229" s="1805"/>
      <c r="C229" s="361" t="s">
        <v>1060</v>
      </c>
      <c r="D229" s="2293"/>
      <c r="E229" s="2038"/>
      <c r="F229" s="2202"/>
      <c r="G229" s="2248"/>
      <c r="H229" s="1517"/>
      <c r="I229" s="646" t="s">
        <v>1059</v>
      </c>
      <c r="J229" s="567"/>
      <c r="K229" s="1517"/>
      <c r="L229" s="193"/>
      <c r="M229" s="329"/>
      <c r="N229" s="322"/>
      <c r="O229" s="1649"/>
      <c r="P229" s="1649"/>
    </row>
    <row s="1660" customFormat="1" customHeight="1" ht="0.75" hidden="1">
      <c r="A230" s="1805"/>
      <c r="B230" s="1805"/>
      <c r="C230" s="361" t="s">
        <v>1067</v>
      </c>
      <c r="D230" s="2293"/>
      <c r="E230" s="2038"/>
      <c r="F230" s="2202"/>
      <c r="G230" s="397"/>
      <c r="H230" s="1517"/>
      <c r="I230" s="646"/>
      <c r="J230" s="567"/>
      <c r="K230" s="1517"/>
      <c r="L230" s="193"/>
      <c r="M230" s="329"/>
      <c r="N230" s="322"/>
      <c r="O230" s="1649"/>
      <c r="P230" s="1649"/>
    </row>
    <row s="1660" customFormat="1" customHeight="1" ht="18.75" hidden="1">
      <c r="A231" s="1805" t="s">
        <v>204</v>
      </c>
      <c r="B231" s="1805" t="s">
        <v>205</v>
      </c>
      <c r="C231" s="361"/>
      <c r="D231" s="2293"/>
      <c r="E231" s="2038"/>
      <c r="F231" s="2202" t="str">
        <f>INDEX(PT_DIFFERENTIATION_VTAR,MATCH(A231,PT_DIFFERENTIATION_VTAR_ID,0))</f>
        <v>Тарифы на услуги по передаче теплоносителя</v>
      </c>
      <c r="G231" s="2248" t="str">
        <f>INDEX(PT_DIFFERENTIATION_NTAR,MATCH(B231,PT_DIFFERENTIATION_NTAR_ID,0))</f>
        <v/>
      </c>
      <c r="H231" s="1887"/>
      <c r="I231" s="1763"/>
      <c r="J231" s="1798"/>
      <c r="K231" s="1803"/>
      <c r="L231" s="1887" t="s">
        <v>311</v>
      </c>
      <c r="M231" s="329"/>
      <c r="N231" s="322"/>
      <c r="O231" s="1649"/>
      <c r="P231" s="1649"/>
    </row>
    <row s="1660" customFormat="1" customHeight="1" ht="18.75" hidden="1">
      <c r="A232" s="1805"/>
      <c r="B232" s="1805"/>
      <c r="C232" s="361" t="s">
        <v>1060</v>
      </c>
      <c r="D232" s="2293"/>
      <c r="E232" s="2038"/>
      <c r="F232" s="2202"/>
      <c r="G232" s="2248"/>
      <c r="H232" s="1517"/>
      <c r="I232" s="646" t="s">
        <v>1059</v>
      </c>
      <c r="J232" s="567"/>
      <c r="K232" s="1517"/>
      <c r="L232" s="193"/>
      <c r="M232" s="329"/>
      <c r="N232" s="322"/>
      <c r="O232" s="1649"/>
      <c r="P232" s="1649"/>
    </row>
    <row s="1660" customFormat="1" customHeight="1" ht="0.75" hidden="1">
      <c r="A233" s="1805"/>
      <c r="B233" s="1805"/>
      <c r="C233" s="361" t="s">
        <v>1067</v>
      </c>
      <c r="D233" s="2293"/>
      <c r="E233" s="2038"/>
      <c r="F233" s="2202"/>
      <c r="G233" s="397"/>
      <c r="H233" s="1517"/>
      <c r="I233" s="646"/>
      <c r="J233" s="567"/>
      <c r="K233" s="1517"/>
      <c r="L233" s="193"/>
      <c r="M233" s="329"/>
      <c r="N233" s="322"/>
      <c r="O233" s="1649"/>
      <c r="P233" s="1649"/>
    </row>
    <row s="1660" customFormat="1" customHeight="1" ht="18.75" hidden="1">
      <c r="A234" s="1805" t="s">
        <v>210</v>
      </c>
      <c r="B234" s="1805" t="s">
        <v>211</v>
      </c>
      <c r="C234" s="361"/>
      <c r="D234" s="2293"/>
      <c r="E234" s="2038"/>
      <c r="F234" s="2202" t="str">
        <f>INDEX(PT_DIFFERENTIATION_VTAR,MATCH(A234,PT_DIFFERENTIATION_VTAR_ID,0))</f>
        <v>Плата за услуги по поддержанию резервной тепловой мощности при отсутствии потребления тепловой энергии</v>
      </c>
      <c r="G234" s="2248" t="str">
        <f>INDEX(PT_DIFFERENTIATION_NTAR,MATCH(B234,PT_DIFFERENTIATION_NTAR_ID,0))</f>
        <v/>
      </c>
      <c r="H234" s="1887"/>
      <c r="I234" s="1763"/>
      <c r="J234" s="1798"/>
      <c r="K234" s="1803"/>
      <c r="L234" s="1887" t="s">
        <v>311</v>
      </c>
      <c r="M234" s="329"/>
      <c r="N234" s="322"/>
      <c r="O234" s="1649"/>
      <c r="P234" s="1649"/>
    </row>
    <row s="1660" customFormat="1" customHeight="1" ht="18.75" hidden="1">
      <c r="A235" s="1805"/>
      <c r="B235" s="1805"/>
      <c r="C235" s="361" t="s">
        <v>1060</v>
      </c>
      <c r="D235" s="2293"/>
      <c r="E235" s="2038"/>
      <c r="F235" s="2202"/>
      <c r="G235" s="2248"/>
      <c r="H235" s="1517"/>
      <c r="I235" s="646" t="s">
        <v>1059</v>
      </c>
      <c r="J235" s="567"/>
      <c r="K235" s="1517"/>
      <c r="L235" s="193"/>
      <c r="M235" s="329"/>
      <c r="N235" s="322"/>
      <c r="O235" s="1649"/>
      <c r="P235" s="1649"/>
    </row>
    <row s="1660" customFormat="1" customHeight="1" ht="0.75" hidden="1">
      <c r="A236" s="1805"/>
      <c r="B236" s="1805"/>
      <c r="C236" s="361" t="s">
        <v>1067</v>
      </c>
      <c r="D236" s="2293"/>
      <c r="E236" s="2038"/>
      <c r="F236" s="2202"/>
      <c r="G236" s="397"/>
      <c r="H236" s="1517"/>
      <c r="I236" s="646"/>
      <c r="J236" s="567"/>
      <c r="K236" s="1517"/>
      <c r="L236" s="193"/>
      <c r="M236" s="329"/>
      <c r="N236" s="322"/>
      <c r="O236" s="1649"/>
      <c r="P236" s="1649"/>
    </row>
    <row s="1660" customFormat="1" customHeight="1" ht="18.75" hidden="1">
      <c r="A237" s="1805" t="s">
        <v>216</v>
      </c>
      <c r="B237" s="1805" t="s">
        <v>217</v>
      </c>
      <c r="C237" s="361"/>
      <c r="D237" s="2293"/>
      <c r="E237" s="2038"/>
      <c r="F237" s="2202" t="str">
        <f>INDEX(PT_DIFFERENTIATION_VTAR,MATCH(A237,PT_DIFFERENTIATION_VTAR_ID,0))</f>
        <v>Плата за подключение (технологическое присоединение) к системе теплоснабжения</v>
      </c>
      <c r="G237" s="2248" t="str">
        <f>INDEX(PT_DIFFERENTIATION_NTAR,MATCH(B237,PT_DIFFERENTIATION_NTAR_ID,0))</f>
        <v/>
      </c>
      <c r="H237" s="1887"/>
      <c r="I237" s="1763"/>
      <c r="J237" s="1798"/>
      <c r="K237" s="1803"/>
      <c r="L237" s="1887" t="s">
        <v>311</v>
      </c>
      <c r="M237" s="329"/>
      <c r="N237" s="322"/>
      <c r="O237" s="1649"/>
      <c r="P237" s="1649"/>
    </row>
    <row s="1660" customFormat="1" customHeight="1" ht="18.75" hidden="1">
      <c r="A238" s="1805"/>
      <c r="B238" s="1805"/>
      <c r="C238" s="361" t="s">
        <v>1060</v>
      </c>
      <c r="D238" s="2293"/>
      <c r="E238" s="2038"/>
      <c r="F238" s="2202"/>
      <c r="G238" s="2248"/>
      <c r="H238" s="1517"/>
      <c r="I238" s="646" t="s">
        <v>1059</v>
      </c>
      <c r="J238" s="567"/>
      <c r="K238" s="1517"/>
      <c r="L238" s="193"/>
      <c r="M238" s="329"/>
      <c r="N238" s="322"/>
      <c r="O238" s="1649"/>
      <c r="P238" s="1649"/>
    </row>
    <row s="1660" customFormat="1" customHeight="1" ht="0.75" hidden="1">
      <c r="A239" s="1805"/>
      <c r="B239" s="1805"/>
      <c r="C239" s="361" t="s">
        <v>1067</v>
      </c>
      <c r="D239" s="2293"/>
      <c r="E239" s="2038"/>
      <c r="F239" s="2202"/>
      <c r="G239" s="397"/>
      <c r="H239" s="1517"/>
      <c r="I239" s="646"/>
      <c r="J239" s="567"/>
      <c r="K239" s="1517"/>
      <c r="L239" s="193"/>
      <c r="M239" s="329"/>
      <c r="N239" s="322"/>
      <c r="O239" s="1649"/>
      <c r="P239" s="1649"/>
    </row>
    <row s="1660" customFormat="1" customHeight="1" ht="18.75" hidden="1">
      <c r="A240" s="1805" t="s">
        <v>230</v>
      </c>
      <c r="B240" s="1805" t="s">
        <v>231</v>
      </c>
      <c r="C240" s="361"/>
      <c r="D240" s="2293"/>
      <c r="E240" s="2038"/>
      <c r="F240" s="2202" t="str">
        <f>INDEX(PT_DIFFERENTIATION_VTAR,MATCH(A240,PT_DIFFERENTIATION_VTAR_ID,0))</f>
        <v>Тариф на питьевую воду (питьевое водоснабжение)</v>
      </c>
      <c r="G240" s="2248" t="str">
        <f>INDEX(PT_DIFFERENTIATION_NTAR,MATCH(B240,PT_DIFFERENTIATION_NTAR_ID,0))</f>
        <v/>
      </c>
      <c r="H240" s="1887"/>
      <c r="I240" s="1763"/>
      <c r="J240" s="1798"/>
      <c r="K240" s="1803"/>
      <c r="L240" s="1887" t="s">
        <v>311</v>
      </c>
      <c r="M240" s="329"/>
      <c r="N240" s="322"/>
      <c r="O240" s="1649"/>
      <c r="P240" s="1649"/>
    </row>
    <row s="1660" customFormat="1" customHeight="1" ht="18.75" hidden="1">
      <c r="A241" s="1805"/>
      <c r="B241" s="1805"/>
      <c r="C241" s="361" t="s">
        <v>1060</v>
      </c>
      <c r="D241" s="2293"/>
      <c r="E241" s="2038"/>
      <c r="F241" s="2202"/>
      <c r="G241" s="2248"/>
      <c r="H241" s="1517"/>
      <c r="I241" s="646" t="s">
        <v>1059</v>
      </c>
      <c r="J241" s="567"/>
      <c r="K241" s="1517"/>
      <c r="L241" s="193"/>
      <c r="M241" s="329"/>
      <c r="N241" s="322"/>
      <c r="O241" s="1649"/>
      <c r="P241" s="1649"/>
    </row>
    <row s="1660" customFormat="1" customHeight="1" ht="0.75" hidden="1">
      <c r="A242" s="1805"/>
      <c r="B242" s="1805"/>
      <c r="C242" s="361" t="s">
        <v>1067</v>
      </c>
      <c r="D242" s="2293"/>
      <c r="E242" s="2038"/>
      <c r="F242" s="2202"/>
      <c r="G242" s="397"/>
      <c r="H242" s="1517"/>
      <c r="I242" s="646"/>
      <c r="J242" s="567"/>
      <c r="K242" s="1517"/>
      <c r="L242" s="193"/>
      <c r="M242" s="329"/>
      <c r="N242" s="322"/>
      <c r="O242" s="1649"/>
      <c r="P242" s="1649"/>
    </row>
    <row s="1660" customFormat="1" customHeight="1" ht="18.75" hidden="1">
      <c r="A243" s="1805" t="s">
        <v>235</v>
      </c>
      <c r="B243" s="1805" t="s">
        <v>236</v>
      </c>
      <c r="C243" s="361"/>
      <c r="D243" s="2293"/>
      <c r="E243" s="2038"/>
      <c r="F243" s="2202" t="str">
        <f>INDEX(PT_DIFFERENTIATION_VTAR,MATCH(A243,PT_DIFFERENTIATION_VTAR_ID,0))</f>
        <v>Тариф на техническую воду</v>
      </c>
      <c r="G243" s="2248" t="str">
        <f>INDEX(PT_DIFFERENTIATION_NTAR,MATCH(B243,PT_DIFFERENTIATION_NTAR_ID,0))</f>
        <v/>
      </c>
      <c r="H243" s="1887"/>
      <c r="I243" s="1763"/>
      <c r="J243" s="1798"/>
      <c r="K243" s="1803"/>
      <c r="L243" s="1887" t="s">
        <v>311</v>
      </c>
      <c r="M243" s="329"/>
      <c r="N243" s="322"/>
      <c r="O243" s="1649"/>
      <c r="P243" s="1649"/>
    </row>
    <row s="1660" customFormat="1" customHeight="1" ht="18.75" hidden="1">
      <c r="A244" s="1805"/>
      <c r="B244" s="1805"/>
      <c r="C244" s="361" t="s">
        <v>1060</v>
      </c>
      <c r="D244" s="2293"/>
      <c r="E244" s="2038"/>
      <c r="F244" s="2202"/>
      <c r="G244" s="2248"/>
      <c r="H244" s="1517"/>
      <c r="I244" s="646" t="s">
        <v>1059</v>
      </c>
      <c r="J244" s="567"/>
      <c r="K244" s="1517"/>
      <c r="L244" s="193"/>
      <c r="M244" s="329"/>
      <c r="N244" s="322"/>
      <c r="O244" s="1649"/>
      <c r="P244" s="1649"/>
    </row>
    <row s="1660" customFormat="1" customHeight="1" ht="0.75" hidden="1">
      <c r="A245" s="1805"/>
      <c r="B245" s="1805"/>
      <c r="C245" s="361" t="s">
        <v>1067</v>
      </c>
      <c r="D245" s="2293"/>
      <c r="E245" s="2038"/>
      <c r="F245" s="2202"/>
      <c r="G245" s="397"/>
      <c r="H245" s="1517"/>
      <c r="I245" s="646"/>
      <c r="J245" s="567"/>
      <c r="K245" s="1517"/>
      <c r="L245" s="193"/>
      <c r="M245" s="329"/>
      <c r="N245" s="322"/>
      <c r="O245" s="1649"/>
      <c r="P245" s="1649"/>
    </row>
    <row s="1660" customFormat="1" customHeight="1" ht="18.75" hidden="1">
      <c r="A246" s="1805" t="s">
        <v>240</v>
      </c>
      <c r="B246" s="1805" t="s">
        <v>241</v>
      </c>
      <c r="C246" s="361"/>
      <c r="D246" s="2293"/>
      <c r="E246" s="2038"/>
      <c r="F246" s="2202" t="str">
        <f>INDEX(PT_DIFFERENTIATION_VTAR,MATCH(A246,PT_DIFFERENTIATION_VTAR_ID,0))</f>
        <v>Тариф на транспортировку воды</v>
      </c>
      <c r="G246" s="2248" t="str">
        <f>INDEX(PT_DIFFERENTIATION_NTAR,MATCH(B246,PT_DIFFERENTIATION_NTAR_ID,0))</f>
        <v/>
      </c>
      <c r="H246" s="1887"/>
      <c r="I246" s="1763"/>
      <c r="J246" s="1798"/>
      <c r="K246" s="1803"/>
      <c r="L246" s="1887" t="s">
        <v>311</v>
      </c>
      <c r="M246" s="329"/>
      <c r="N246" s="322"/>
      <c r="O246" s="1649"/>
      <c r="P246" s="1649"/>
    </row>
    <row s="1660" customFormat="1" customHeight="1" ht="18.75" hidden="1">
      <c r="A247" s="1805"/>
      <c r="B247" s="1805"/>
      <c r="C247" s="361" t="s">
        <v>1060</v>
      </c>
      <c r="D247" s="2293"/>
      <c r="E247" s="2038"/>
      <c r="F247" s="2202"/>
      <c r="G247" s="2248"/>
      <c r="H247" s="1517"/>
      <c r="I247" s="646" t="s">
        <v>1059</v>
      </c>
      <c r="J247" s="567"/>
      <c r="K247" s="1517"/>
      <c r="L247" s="193"/>
      <c r="M247" s="329"/>
      <c r="N247" s="322"/>
      <c r="O247" s="1649"/>
      <c r="P247" s="1649"/>
    </row>
    <row s="1660" customFormat="1" customHeight="1" ht="0.75" hidden="1">
      <c r="A248" s="1805"/>
      <c r="B248" s="1805"/>
      <c r="C248" s="361" t="s">
        <v>1067</v>
      </c>
      <c r="D248" s="2293"/>
      <c r="E248" s="2038"/>
      <c r="F248" s="2202"/>
      <c r="G248" s="397"/>
      <c r="H248" s="1517"/>
      <c r="I248" s="646"/>
      <c r="J248" s="567"/>
      <c r="K248" s="1517"/>
      <c r="L248" s="193"/>
      <c r="M248" s="329"/>
      <c r="N248" s="322"/>
      <c r="O248" s="1649"/>
      <c r="P248" s="1649"/>
    </row>
    <row s="1660" customFormat="1" customHeight="1" ht="18.75" hidden="1">
      <c r="A249" s="1805" t="s">
        <v>245</v>
      </c>
      <c r="B249" s="1805" t="s">
        <v>246</v>
      </c>
      <c r="C249" s="361"/>
      <c r="D249" s="2293"/>
      <c r="E249" s="2038"/>
      <c r="F249" s="2202" t="str">
        <f>INDEX(PT_DIFFERENTIATION_VTAR,MATCH(A249,PT_DIFFERENTIATION_VTAR_ID,0))</f>
        <v>Тариф на подвоз воды</v>
      </c>
      <c r="G249" s="2248" t="str">
        <f>INDEX(PT_DIFFERENTIATION_NTAR,MATCH(B249,PT_DIFFERENTIATION_NTAR_ID,0))</f>
        <v/>
      </c>
      <c r="H249" s="1887"/>
      <c r="I249" s="1763"/>
      <c r="J249" s="1798"/>
      <c r="K249" s="1803"/>
      <c r="L249" s="1887" t="s">
        <v>311</v>
      </c>
      <c r="M249" s="329"/>
      <c r="N249" s="322"/>
      <c r="O249" s="1649"/>
      <c r="P249" s="1649"/>
    </row>
    <row s="1660" customFormat="1" customHeight="1" ht="18.75" hidden="1">
      <c r="A250" s="1805"/>
      <c r="B250" s="1805"/>
      <c r="C250" s="361" t="s">
        <v>1060</v>
      </c>
      <c r="D250" s="2293"/>
      <c r="E250" s="2038"/>
      <c r="F250" s="2202"/>
      <c r="G250" s="2248"/>
      <c r="H250" s="1517"/>
      <c r="I250" s="646" t="s">
        <v>1059</v>
      </c>
      <c r="J250" s="567"/>
      <c r="K250" s="1517"/>
      <c r="L250" s="193"/>
      <c r="M250" s="329"/>
      <c r="N250" s="322"/>
      <c r="O250" s="1649"/>
      <c r="P250" s="1649"/>
    </row>
    <row s="1660" customFormat="1" customHeight="1" ht="0.75" hidden="1">
      <c r="A251" s="1805"/>
      <c r="B251" s="1805"/>
      <c r="C251" s="361" t="s">
        <v>1067</v>
      </c>
      <c r="D251" s="2293"/>
      <c r="E251" s="2038"/>
      <c r="F251" s="2202"/>
      <c r="G251" s="397"/>
      <c r="H251" s="1517"/>
      <c r="I251" s="646"/>
      <c r="J251" s="567"/>
      <c r="K251" s="1517"/>
      <c r="L251" s="193"/>
      <c r="M251" s="329"/>
      <c r="N251" s="322"/>
      <c r="O251" s="1649"/>
      <c r="P251" s="1649"/>
    </row>
    <row s="1660" customFormat="1" customHeight="1" ht="18.75" hidden="1">
      <c r="A252" s="1805" t="s">
        <v>250</v>
      </c>
      <c r="B252" s="1805" t="s">
        <v>251</v>
      </c>
      <c r="C252" s="361"/>
      <c r="D252" s="2293"/>
      <c r="E252" s="2038"/>
      <c r="F252" s="2202" t="str">
        <f>INDEX(PT_DIFFERENTIATION_VTAR,MATCH(A252,PT_DIFFERENTIATION_VTAR_ID,0))</f>
        <v>Тариф на подключение (технологическое присоединение) к централизованной системе холодного водоснабжения</v>
      </c>
      <c r="G252" s="2248" t="str">
        <f>INDEX(PT_DIFFERENTIATION_NTAR,MATCH(B252,PT_DIFFERENTIATION_NTAR_ID,0))</f>
        <v/>
      </c>
      <c r="H252" s="1887"/>
      <c r="I252" s="1763"/>
      <c r="J252" s="1798"/>
      <c r="K252" s="1803"/>
      <c r="L252" s="1887" t="s">
        <v>311</v>
      </c>
      <c r="M252" s="329"/>
      <c r="N252" s="322"/>
      <c r="O252" s="1649"/>
      <c r="P252" s="1649"/>
    </row>
    <row s="1660" customFormat="1" customHeight="1" ht="18.75" hidden="1">
      <c r="A253" s="1805"/>
      <c r="B253" s="1805"/>
      <c r="C253" s="361" t="s">
        <v>1060</v>
      </c>
      <c r="D253" s="2293"/>
      <c r="E253" s="2038"/>
      <c r="F253" s="2202"/>
      <c r="G253" s="2248"/>
      <c r="H253" s="1517"/>
      <c r="I253" s="646" t="s">
        <v>1059</v>
      </c>
      <c r="J253" s="567"/>
      <c r="K253" s="1517"/>
      <c r="L253" s="193"/>
      <c r="M253" s="329"/>
      <c r="N253" s="322"/>
      <c r="O253" s="1649"/>
      <c r="P253" s="1649"/>
    </row>
    <row s="1660" customFormat="1" customHeight="1" ht="0.75" hidden="1">
      <c r="A254" s="1805"/>
      <c r="B254" s="1805"/>
      <c r="C254" s="361" t="s">
        <v>1067</v>
      </c>
      <c r="D254" s="2293"/>
      <c r="E254" s="2038"/>
      <c r="F254" s="2202"/>
      <c r="G254" s="397"/>
      <c r="H254" s="1517"/>
      <c r="I254" s="646"/>
      <c r="J254" s="567"/>
      <c r="K254" s="1517"/>
      <c r="L254" s="193"/>
      <c r="M254" s="329"/>
      <c r="N254" s="322"/>
      <c r="O254" s="1649"/>
      <c r="P254" s="1649"/>
    </row>
    <row s="1660" customFormat="1" customHeight="1" ht="18.75" hidden="1">
      <c r="A255" s="1805" t="s">
        <v>255</v>
      </c>
      <c r="B255" s="1805" t="s">
        <v>256</v>
      </c>
      <c r="C255" s="361"/>
      <c r="D255" s="2293"/>
      <c r="E255" s="2038"/>
      <c r="F255" s="2202" t="str">
        <f>INDEX(PT_DIFFERENTIATION_VTAR,MATCH(A255,PT_DIFFERENTIATION_VTAR_ID,0))</f>
        <v>Тариф на горячую воду (горячее водоснабжение)</v>
      </c>
      <c r="G255" s="2248" t="str">
        <f>INDEX(PT_DIFFERENTIATION_NTAR,MATCH(B255,PT_DIFFERENTIATION_NTAR_ID,0))</f>
        <v/>
      </c>
      <c r="H255" s="1887"/>
      <c r="I255" s="1763"/>
      <c r="J255" s="1798"/>
      <c r="K255" s="1803"/>
      <c r="L255" s="1887" t="s">
        <v>311</v>
      </c>
      <c r="M255" s="329"/>
      <c r="N255" s="322"/>
      <c r="O255" s="1649"/>
      <c r="P255" s="1649"/>
    </row>
    <row s="1660" customFormat="1" customHeight="1" ht="18.75" hidden="1">
      <c r="A256" s="1805"/>
      <c r="B256" s="1805"/>
      <c r="C256" s="361" t="s">
        <v>1060</v>
      </c>
      <c r="D256" s="2293"/>
      <c r="E256" s="2038"/>
      <c r="F256" s="2202"/>
      <c r="G256" s="2248"/>
      <c r="H256" s="1517"/>
      <c r="I256" s="646" t="s">
        <v>1059</v>
      </c>
      <c r="J256" s="567"/>
      <c r="K256" s="1517"/>
      <c r="L256" s="193"/>
      <c r="M256" s="329"/>
      <c r="N256" s="322"/>
      <c r="O256" s="1649"/>
      <c r="P256" s="1649"/>
    </row>
    <row s="1660" customFormat="1" customHeight="1" ht="0.75" hidden="1">
      <c r="A257" s="1805"/>
      <c r="B257" s="1805"/>
      <c r="C257" s="361" t="s">
        <v>1067</v>
      </c>
      <c r="D257" s="2293"/>
      <c r="E257" s="2038"/>
      <c r="F257" s="2202"/>
      <c r="G257" s="397"/>
      <c r="H257" s="1517"/>
      <c r="I257" s="646"/>
      <c r="J257" s="567"/>
      <c r="K257" s="1517"/>
      <c r="L257" s="193"/>
      <c r="M257" s="329"/>
      <c r="N257" s="322"/>
      <c r="O257" s="1649"/>
      <c r="P257" s="1649"/>
    </row>
    <row s="1660" customFormat="1" customHeight="1" ht="18.75" hidden="1">
      <c r="A258" s="1805" t="s">
        <v>260</v>
      </c>
      <c r="B258" s="1805" t="s">
        <v>261</v>
      </c>
      <c r="C258" s="361"/>
      <c r="D258" s="2293"/>
      <c r="E258" s="2038"/>
      <c r="F258" s="2202" t="str">
        <f>INDEX(PT_DIFFERENTIATION_VTAR,MATCH(A258,PT_DIFFERENTIATION_VTAR_ID,0))</f>
        <v>Тариф на транспортировку горячей воды</v>
      </c>
      <c r="G258" s="2248" t="str">
        <f>INDEX(PT_DIFFERENTIATION_NTAR,MATCH(B258,PT_DIFFERENTIATION_NTAR_ID,0))</f>
        <v/>
      </c>
      <c r="H258" s="1887"/>
      <c r="I258" s="1763"/>
      <c r="J258" s="1798"/>
      <c r="K258" s="1803"/>
      <c r="L258" s="1887" t="s">
        <v>311</v>
      </c>
      <c r="M258" s="329"/>
      <c r="N258" s="322"/>
      <c r="O258" s="1649"/>
      <c r="P258" s="1649"/>
    </row>
    <row s="1660" customFormat="1" customHeight="1" ht="18.75" hidden="1">
      <c r="A259" s="1805"/>
      <c r="B259" s="1805"/>
      <c r="C259" s="361" t="s">
        <v>1060</v>
      </c>
      <c r="D259" s="2293"/>
      <c r="E259" s="2038"/>
      <c r="F259" s="2202"/>
      <c r="G259" s="2248"/>
      <c r="H259" s="1517"/>
      <c r="I259" s="646" t="s">
        <v>1059</v>
      </c>
      <c r="J259" s="567"/>
      <c r="K259" s="1517"/>
      <c r="L259" s="193"/>
      <c r="M259" s="329"/>
      <c r="N259" s="322"/>
      <c r="O259" s="1649"/>
      <c r="P259" s="1649"/>
    </row>
    <row s="1660" customFormat="1" customHeight="1" ht="0.75" hidden="1">
      <c r="A260" s="1805"/>
      <c r="B260" s="1805"/>
      <c r="C260" s="361" t="s">
        <v>1067</v>
      </c>
      <c r="D260" s="2293"/>
      <c r="E260" s="2038"/>
      <c r="F260" s="2202"/>
      <c r="G260" s="397"/>
      <c r="H260" s="1517"/>
      <c r="I260" s="646"/>
      <c r="J260" s="567"/>
      <c r="K260" s="1517"/>
      <c r="L260" s="193"/>
      <c r="M260" s="329"/>
      <c r="N260" s="322"/>
      <c r="O260" s="1649"/>
      <c r="P260" s="1649"/>
    </row>
    <row s="1660" customFormat="1" customHeight="1" ht="18.75" hidden="1">
      <c r="A261" s="1805" t="s">
        <v>265</v>
      </c>
      <c r="B261" s="1805" t="s">
        <v>266</v>
      </c>
      <c r="C261" s="361"/>
      <c r="D261" s="2293"/>
      <c r="E261" s="2038"/>
      <c r="F261" s="2202" t="str">
        <f>INDEX(PT_DIFFERENTIATION_VTAR,MATCH(A261,PT_DIFFERENTIATION_VTAR_ID,0))</f>
        <v>Тариф на подключение (технологическое присоединение) к централизованной системе горячего водоснабжения</v>
      </c>
      <c r="G261" s="2248" t="str">
        <f>INDEX(PT_DIFFERENTIATION_NTAR,MATCH(B261,PT_DIFFERENTIATION_NTAR_ID,0))</f>
        <v/>
      </c>
      <c r="H261" s="1887"/>
      <c r="I261" s="1763"/>
      <c r="J261" s="1798"/>
      <c r="K261" s="1803"/>
      <c r="L261" s="1887" t="s">
        <v>311</v>
      </c>
      <c r="M261" s="329"/>
      <c r="N261" s="322"/>
      <c r="O261" s="1649"/>
      <c r="P261" s="1649"/>
    </row>
    <row s="1660" customFormat="1" customHeight="1" ht="18.75" hidden="1">
      <c r="A262" s="1805"/>
      <c r="B262" s="1805"/>
      <c r="C262" s="361" t="s">
        <v>1060</v>
      </c>
      <c r="D262" s="2293"/>
      <c r="E262" s="2038"/>
      <c r="F262" s="2202"/>
      <c r="G262" s="2248"/>
      <c r="H262" s="1517"/>
      <c r="I262" s="646" t="s">
        <v>1059</v>
      </c>
      <c r="J262" s="567"/>
      <c r="K262" s="1517"/>
      <c r="L262" s="193"/>
      <c r="M262" s="329"/>
      <c r="N262" s="322"/>
      <c r="O262" s="1649"/>
      <c r="P262" s="1649"/>
    </row>
    <row s="1660" customFormat="1" customHeight="1" ht="0.75" hidden="1">
      <c r="A263" s="1805"/>
      <c r="B263" s="1805"/>
      <c r="C263" s="361" t="s">
        <v>1067</v>
      </c>
      <c r="D263" s="2293"/>
      <c r="E263" s="2038"/>
      <c r="F263" s="2202"/>
      <c r="G263" s="397"/>
      <c r="H263" s="1517"/>
      <c r="I263" s="646"/>
      <c r="J263" s="567"/>
      <c r="K263" s="1517"/>
      <c r="L263" s="193"/>
      <c r="M263" s="329"/>
      <c r="N263" s="322"/>
      <c r="O263" s="1649"/>
      <c r="P263" s="1649"/>
    </row>
    <row s="1660" customFormat="1" customHeight="1" ht="18.75" hidden="1">
      <c r="A264" s="1805" t="s">
        <v>270</v>
      </c>
      <c r="B264" s="1805" t="s">
        <v>271</v>
      </c>
      <c r="C264" s="361"/>
      <c r="D264" s="2293"/>
      <c r="E264" s="2038"/>
      <c r="F264" s="2202" t="str">
        <f>INDEX(PT_DIFFERENTIATION_VTAR,MATCH(A264,PT_DIFFERENTIATION_VTAR_ID,0))</f>
        <v>Тариф на водоотведение</v>
      </c>
      <c r="G264" s="2248" t="str">
        <f>INDEX(PT_DIFFERENTIATION_NTAR,MATCH(B264,PT_DIFFERENTIATION_NTAR_ID,0))</f>
        <v/>
      </c>
      <c r="H264" s="1887"/>
      <c r="I264" s="1763"/>
      <c r="J264" s="1798"/>
      <c r="K264" s="1803"/>
      <c r="L264" s="1887" t="s">
        <v>311</v>
      </c>
      <c r="M264" s="329"/>
      <c r="N264" s="322"/>
      <c r="O264" s="1649"/>
      <c r="P264" s="1649"/>
    </row>
    <row s="1660" customFormat="1" customHeight="1" ht="18.75" hidden="1">
      <c r="A265" s="1805"/>
      <c r="B265" s="1805"/>
      <c r="C265" s="361" t="s">
        <v>1060</v>
      </c>
      <c r="D265" s="2293"/>
      <c r="E265" s="2038"/>
      <c r="F265" s="2202"/>
      <c r="G265" s="2248"/>
      <c r="H265" s="1517"/>
      <c r="I265" s="646" t="s">
        <v>1059</v>
      </c>
      <c r="J265" s="567"/>
      <c r="K265" s="1517"/>
      <c r="L265" s="193"/>
      <c r="M265" s="329"/>
      <c r="N265" s="322"/>
      <c r="O265" s="1649"/>
      <c r="P265" s="1649"/>
    </row>
    <row s="1660" customFormat="1" customHeight="1" ht="0.75" hidden="1">
      <c r="A266" s="1805"/>
      <c r="B266" s="1805"/>
      <c r="C266" s="361" t="s">
        <v>1067</v>
      </c>
      <c r="D266" s="2293"/>
      <c r="E266" s="2038"/>
      <c r="F266" s="2202"/>
      <c r="G266" s="397"/>
      <c r="H266" s="1517"/>
      <c r="I266" s="646"/>
      <c r="J266" s="567"/>
      <c r="K266" s="1517"/>
      <c r="L266" s="193"/>
      <c r="M266" s="329"/>
      <c r="N266" s="322"/>
      <c r="O266" s="1649"/>
      <c r="P266" s="1649"/>
    </row>
    <row s="1660" customFormat="1" customHeight="1" ht="18.75" hidden="1">
      <c r="A267" s="1805" t="s">
        <v>275</v>
      </c>
      <c r="B267" s="1805" t="s">
        <v>276</v>
      </c>
      <c r="C267" s="361"/>
      <c r="D267" s="2293"/>
      <c r="E267" s="2038"/>
      <c r="F267" s="2202" t="str">
        <f>INDEX(PT_DIFFERENTIATION_VTAR,MATCH(A267,PT_DIFFERENTIATION_VTAR_ID,0))</f>
        <v>Тариф на транспортировку сточных вод</v>
      </c>
      <c r="G267" s="2248" t="str">
        <f>INDEX(PT_DIFFERENTIATION_NTAR,MATCH(B267,PT_DIFFERENTIATION_NTAR_ID,0))</f>
        <v/>
      </c>
      <c r="H267" s="1887"/>
      <c r="I267" s="1763"/>
      <c r="J267" s="1798"/>
      <c r="K267" s="1803"/>
      <c r="L267" s="1887" t="s">
        <v>311</v>
      </c>
      <c r="M267" s="329"/>
      <c r="N267" s="322"/>
      <c r="O267" s="1649"/>
      <c r="P267" s="1649"/>
    </row>
    <row s="1660" customFormat="1" customHeight="1" ht="18.75" hidden="1">
      <c r="A268" s="1805"/>
      <c r="B268" s="1805"/>
      <c r="C268" s="361" t="s">
        <v>1060</v>
      </c>
      <c r="D268" s="2293"/>
      <c r="E268" s="2038"/>
      <c r="F268" s="2202"/>
      <c r="G268" s="2248"/>
      <c r="H268" s="1517"/>
      <c r="I268" s="646" t="s">
        <v>1059</v>
      </c>
      <c r="J268" s="567"/>
      <c r="K268" s="1517"/>
      <c r="L268" s="193"/>
      <c r="M268" s="329"/>
      <c r="N268" s="322"/>
      <c r="O268" s="1649"/>
      <c r="P268" s="1649"/>
    </row>
    <row s="1660" customFormat="1" customHeight="1" ht="0.75" hidden="1">
      <c r="A269" s="1805"/>
      <c r="B269" s="1805"/>
      <c r="C269" s="361" t="s">
        <v>1067</v>
      </c>
      <c r="D269" s="2293"/>
      <c r="E269" s="2038"/>
      <c r="F269" s="2202"/>
      <c r="G269" s="397"/>
      <c r="H269" s="1517"/>
      <c r="I269" s="646"/>
      <c r="J269" s="567"/>
      <c r="K269" s="1517"/>
      <c r="L269" s="193"/>
      <c r="M269" s="329"/>
      <c r="N269" s="322"/>
      <c r="O269" s="1649"/>
      <c r="P269" s="1649"/>
    </row>
    <row s="1660" customFormat="1" customHeight="1" ht="18.75" hidden="1">
      <c r="A270" s="1805" t="s">
        <v>280</v>
      </c>
      <c r="B270" s="1805" t="s">
        <v>281</v>
      </c>
      <c r="C270" s="361"/>
      <c r="D270" s="2293"/>
      <c r="E270" s="2038"/>
      <c r="F270" s="2202" t="str">
        <f>INDEX(PT_DIFFERENTIATION_VTAR,MATCH(A270,PT_DIFFERENTIATION_VTAR_ID,0))</f>
        <v>Тариф на подключение (технологическое присоединение) к централизованной системе водоотведения</v>
      </c>
      <c r="G270" s="2248" t="str">
        <f>INDEX(PT_DIFFERENTIATION_NTAR,MATCH(B270,PT_DIFFERENTIATION_NTAR_ID,0))</f>
        <v/>
      </c>
      <c r="H270" s="1887"/>
      <c r="I270" s="1763"/>
      <c r="J270" s="1798"/>
      <c r="K270" s="1803"/>
      <c r="L270" s="1887" t="s">
        <v>311</v>
      </c>
      <c r="M270" s="329"/>
      <c r="N270" s="322"/>
      <c r="O270" s="1649"/>
      <c r="P270" s="1649"/>
    </row>
    <row s="1660" customFormat="1" customHeight="1" ht="18.75" hidden="1">
      <c r="A271" s="1805"/>
      <c r="B271" s="1805"/>
      <c r="C271" s="361" t="s">
        <v>1060</v>
      </c>
      <c r="D271" s="2293"/>
      <c r="E271" s="2038"/>
      <c r="F271" s="2202"/>
      <c r="G271" s="2248"/>
      <c r="H271" s="1517"/>
      <c r="I271" s="646" t="s">
        <v>1059</v>
      </c>
      <c r="J271" s="567"/>
      <c r="K271" s="1517"/>
      <c r="L271" s="193"/>
      <c r="M271" s="329"/>
      <c r="N271" s="322"/>
      <c r="O271" s="1649"/>
      <c r="P271" s="1649"/>
    </row>
    <row s="1660" customFormat="1" customHeight="1" ht="0.75">
      <c r="A272" s="1805"/>
      <c r="B272" s="1805"/>
      <c r="C272" s="361" t="s">
        <v>1067</v>
      </c>
      <c r="D272" s="2293"/>
      <c r="E272" s="2038"/>
      <c r="F272" s="2202"/>
      <c r="G272" s="397"/>
      <c r="H272" s="1517"/>
      <c r="I272" s="646"/>
      <c r="J272" s="567"/>
      <c r="K272" s="1517"/>
      <c r="L272" s="193"/>
      <c r="M272" s="329"/>
      <c r="N272" s="322"/>
      <c r="O272" s="1649"/>
      <c r="P272" s="1649"/>
    </row>
    <row customHeight="1" ht="25.5">
      <c r="A273" s="1805"/>
      <c r="B273" s="1805"/>
      <c r="D273" s="368"/>
      <c r="E273" s="127" t="s">
        <v>91</v>
      </c>
      <c r="F273" s="2285"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73" s="2285"/>
      <c r="H273" s="2285"/>
      <c r="I273" s="2285"/>
      <c r="J273" s="2285"/>
      <c r="K273" s="2285"/>
      <c r="L273" s="2285"/>
      <c r="M273" s="277"/>
      <c r="N273" s="322"/>
    </row>
    <row s="1660" customFormat="1" customHeight="1" ht="60.75" hidden="1">
      <c r="A274" s="1805" t="s">
        <v>153</v>
      </c>
      <c r="B274" s="1805" t="s">
        <v>154</v>
      </c>
      <c r="C274" s="361"/>
      <c r="D274" s="2293"/>
      <c r="E274" s="2038"/>
      <c r="F274" s="2202" t="str">
        <f>INDEX(PT_DIFFERENTIATION_VTAR,MATCH(A274,PT_DIFFERENTIATION_VTAR_ID,0))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4" s="2248" t="str">
        <f>INDEX(PT_DIFFERENTIATION_NTAR,MATCH(B274,PT_DIFFERENTIATION_NTAR_ID,0))</f>
        <v/>
      </c>
      <c r="H274" s="1887"/>
      <c r="I274" s="1763"/>
      <c r="J274" s="1798"/>
      <c r="K274" s="1803"/>
      <c r="L274" s="1887" t="s">
        <v>311</v>
      </c>
      <c r="M274"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4" s="322"/>
      <c r="O274" s="1649"/>
      <c r="P274" s="1649"/>
    </row>
    <row s="1660" customFormat="1" customHeight="1" ht="18.75" hidden="1">
      <c r="A275" s="1805"/>
      <c r="B275" s="1805"/>
      <c r="C275" s="361" t="s">
        <v>1060</v>
      </c>
      <c r="D275" s="2293"/>
      <c r="E275" s="2038"/>
      <c r="F275" s="2202"/>
      <c r="G275" s="2248"/>
      <c r="H275" s="1517"/>
      <c r="I275" s="646" t="s">
        <v>1059</v>
      </c>
      <c r="J275" s="567"/>
      <c r="K275" s="1517"/>
      <c r="L275" s="193"/>
      <c r="M275" s="1998"/>
      <c r="N275" s="322"/>
      <c r="O275" s="1649"/>
      <c r="P275" s="1649"/>
    </row>
    <row s="1660" customFormat="1" customHeight="1" ht="0.75" hidden="1">
      <c r="A276" s="1805"/>
      <c r="B276" s="1805"/>
      <c r="C276" s="361" t="s">
        <v>1067</v>
      </c>
      <c r="D276" s="2293"/>
      <c r="E276" s="2038"/>
      <c r="F276" s="2202"/>
      <c r="G276" s="397"/>
      <c r="H276" s="1517"/>
      <c r="I276" s="646"/>
      <c r="J276" s="567"/>
      <c r="K276" s="1517"/>
      <c r="L276" s="193"/>
      <c r="M276" s="1998"/>
      <c r="N276" s="322"/>
      <c r="O276" s="1649"/>
      <c r="P276" s="1649"/>
    </row>
    <row s="1660" customFormat="1" customHeight="1" ht="45" hidden="1">
      <c r="A277" s="1805" t="s">
        <v>161</v>
      </c>
      <c r="B277" s="1805" t="s">
        <v>162</v>
      </c>
      <c r="C277" s="361"/>
      <c r="D277" s="2293"/>
      <c r="E277" s="2038"/>
      <c r="F277" s="2202" t="str">
        <f>INDEX(PT_DIFFERENTIATION_VTAR,MATCH(A277,PT_DIFFERENTIATION_VTAR_ID,0))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7" s="2248" t="str">
        <f>INDEX(PT_DIFFERENTIATION_NTAR,MATCH(B277,PT_DIFFERENTIATION_NTAR_ID,0))</f>
        <v>Тарифы на тепловую энергию, поставляемую обществом с ограниченной ответственностью "ПРОМ ИМПУЛЬС" потребителям, расположенным на территории Санкт-Петербурга</v>
      </c>
      <c r="H277" s="1887"/>
      <c r="I277" s="1763"/>
      <c r="J277" s="1798"/>
      <c r="K277" s="1803"/>
      <c r="L277" s="1887" t="s">
        <v>311</v>
      </c>
      <c r="M277" s="1999"/>
      <c r="N277" s="322"/>
      <c r="O277" s="1649"/>
      <c r="P277" s="1649"/>
    </row>
    <row s="1660" customFormat="1" customHeight="1" ht="18.75" hidden="1">
      <c r="A278" s="1805"/>
      <c r="B278" s="1805"/>
      <c r="C278" s="361" t="s">
        <v>1060</v>
      </c>
      <c r="D278" s="2293"/>
      <c r="E278" s="2038"/>
      <c r="F278" s="2202"/>
      <c r="G278" s="2248"/>
      <c r="H278" s="1517"/>
      <c r="I278" s="646" t="s">
        <v>1059</v>
      </c>
      <c r="J278" s="567"/>
      <c r="K278" s="1517"/>
      <c r="L278" s="193"/>
      <c r="M278" s="1886"/>
      <c r="N278" s="322"/>
      <c r="O278" s="1649"/>
      <c r="P278" s="1649"/>
    </row>
    <row s="1660" customFormat="1" customHeight="1" ht="18.75">
      <c r="A279" s="1848" t="s">
        <v>161</v>
      </c>
      <c r="B279" s="1848" t="s">
        <v>171</v>
      </c>
      <c r="C279" s="1712"/>
      <c r="D279" s="332"/>
      <c r="E279" s="1026"/>
      <c r="F279" s="1026"/>
      <c r="G279" s="2248" t="str">
        <f>INDEX(PT_DIFFERENTIATION_NTAR,MATCH(B279,PT_DIFFERENTIATION_NTAR_ID,0))</f>
        <v>Тарифы на тепловую энергию, поставляемую обществом с ограниченной ответственностью "ПРОМ ИМПУЛЬС" на коллекторах источников тепловой энергии потребителям, расположенным на территории Санкт-Петербурга</v>
      </c>
      <c r="H279" s="2066"/>
      <c r="I279" s="1763"/>
      <c r="J279" s="1798"/>
      <c r="K279" s="1803"/>
      <c r="L279" s="2066" t="s">
        <v>311</v>
      </c>
      <c r="M279" s="1900"/>
      <c r="N279" s="614"/>
      <c r="O279" s="1649"/>
      <c r="P279" s="1649"/>
      <c r="Q279" s="1660"/>
      <c r="R279" s="1660"/>
      <c r="S279" s="1660"/>
      <c r="T279" s="1660"/>
      <c r="U279" s="1660"/>
      <c r="V279" s="1660"/>
      <c r="W279" s="1660"/>
      <c r="X279" s="1660"/>
      <c r="Y279" s="1660"/>
      <c r="Z279" s="1660"/>
      <c r="AA279" s="1660"/>
      <c r="AB279" s="1660"/>
      <c r="AC279" s="1660"/>
      <c r="AD279" s="1660"/>
      <c r="AE279" s="1660"/>
      <c r="AF279" s="1660"/>
      <c r="AG279" s="1660"/>
    </row>
    <row s="1660" customFormat="1" customHeight="1" ht="18.75">
      <c r="A280" s="1848"/>
      <c r="B280" s="1848"/>
      <c r="C280" s="1712" t="s">
        <v>1060</v>
      </c>
      <c r="D280" s="332"/>
      <c r="E280" s="1026"/>
      <c r="F280" s="1026"/>
      <c r="G280" s="2248"/>
      <c r="H280" s="4098"/>
      <c r="I280" s="4099" t="s">
        <v>1059</v>
      </c>
      <c r="J280" s="4100"/>
      <c r="K280" s="4101"/>
      <c r="L280" s="4102"/>
      <c r="M280" s="1900"/>
      <c r="N280" s="614"/>
      <c r="O280" s="1649"/>
      <c r="P280" s="1649"/>
      <c r="Q280" s="1660"/>
      <c r="R280" s="1660"/>
      <c r="S280" s="1660"/>
      <c r="T280" s="1660"/>
      <c r="U280" s="1660"/>
      <c r="V280" s="1660"/>
      <c r="W280" s="1660"/>
      <c r="X280" s="1660"/>
      <c r="Y280" s="1660"/>
      <c r="Z280" s="1660"/>
      <c r="AA280" s="1660"/>
      <c r="AB280" s="1660"/>
      <c r="AC280" s="1660"/>
      <c r="AD280" s="1660"/>
      <c r="AE280" s="1660"/>
      <c r="AF280" s="1660"/>
      <c r="AG280" s="1660"/>
    </row>
    <row s="1660" customFormat="1" customHeight="1" ht="18.75">
      <c r="A281" s="1848" t="s">
        <v>161</v>
      </c>
      <c r="B281" s="1848" t="s">
        <v>176</v>
      </c>
      <c r="C281" s="1712"/>
      <c r="D281" s="332"/>
      <c r="E281" s="1026"/>
      <c r="F281" s="1026"/>
      <c r="G281" s="2248" t="str">
        <f>INDEX(PT_DIFFERENTIATION_NTAR,MATCH(B281,PT_DIFFERENTIATION_NTAR_ID,0))</f>
        <v>Льготный тариф на тепловую энергию</v>
      </c>
      <c r="H281" s="2066"/>
      <c r="I281" s="1763"/>
      <c r="J281" s="1798"/>
      <c r="K281" s="1803"/>
      <c r="L281" s="2066" t="s">
        <v>311</v>
      </c>
      <c r="M281" s="1900"/>
      <c r="N281" s="614"/>
      <c r="O281" s="1649"/>
      <c r="P281" s="1649"/>
      <c r="Q281" s="1660"/>
      <c r="R281" s="1660"/>
      <c r="S281" s="1660"/>
      <c r="T281" s="1660"/>
      <c r="U281" s="1660"/>
      <c r="V281" s="1660"/>
      <c r="W281" s="1660"/>
      <c r="X281" s="1660"/>
      <c r="Y281" s="1660"/>
      <c r="Z281" s="1660"/>
      <c r="AA281" s="1660"/>
      <c r="AB281" s="1660"/>
      <c r="AC281" s="1660"/>
      <c r="AD281" s="1660"/>
      <c r="AE281" s="1660"/>
      <c r="AF281" s="1660"/>
      <c r="AG281" s="1660"/>
    </row>
    <row s="1660" customFormat="1" customHeight="1" ht="18.75">
      <c r="A282" s="1848"/>
      <c r="B282" s="1848"/>
      <c r="C282" s="1712" t="s">
        <v>1060</v>
      </c>
      <c r="D282" s="332"/>
      <c r="E282" s="1026"/>
      <c r="F282" s="1026"/>
      <c r="G282" s="2248"/>
      <c r="H282" s="4103"/>
      <c r="I282" s="4104" t="s">
        <v>1059</v>
      </c>
      <c r="J282" s="4105"/>
      <c r="K282" s="4106"/>
      <c r="L282" s="4107"/>
      <c r="M282" s="1900"/>
      <c r="N282" s="614"/>
      <c r="O282" s="1649"/>
      <c r="P282" s="1649"/>
      <c r="Q282" s="1660"/>
      <c r="R282" s="1660"/>
      <c r="S282" s="1660"/>
      <c r="T282" s="1660"/>
      <c r="U282" s="1660"/>
      <c r="V282" s="1660"/>
      <c r="W282" s="1660"/>
      <c r="X282" s="1660"/>
      <c r="Y282" s="1660"/>
      <c r="Z282" s="1660"/>
      <c r="AA282" s="1660"/>
      <c r="AB282" s="1660"/>
      <c r="AC282" s="1660"/>
      <c r="AD282" s="1660"/>
      <c r="AE282" s="1660"/>
      <c r="AF282" s="1660"/>
      <c r="AG282" s="1660"/>
    </row>
    <row s="1660" customFormat="1" customHeight="1" ht="0.75" hidden="1">
      <c r="A283" s="1805"/>
      <c r="B283" s="1805"/>
      <c r="C283" s="361" t="s">
        <v>1067</v>
      </c>
      <c r="D283" s="2293"/>
      <c r="E283" s="2038"/>
      <c r="F283" s="2202"/>
      <c r="G283" s="397"/>
      <c r="H283" s="1517"/>
      <c r="I283" s="646"/>
      <c r="J283" s="567"/>
      <c r="K283" s="1517"/>
      <c r="L283" s="193"/>
      <c r="M283" s="329"/>
      <c r="N283" s="322"/>
      <c r="O283" s="1649"/>
      <c r="P283" s="1649"/>
    </row>
    <row s="1660" customFormat="1" customHeight="1" ht="45" hidden="1">
      <c r="A284" s="1805" t="s">
        <v>184</v>
      </c>
      <c r="B284" s="1805" t="s">
        <v>185</v>
      </c>
      <c r="C284" s="361"/>
      <c r="D284" s="2293"/>
      <c r="E284" s="2038"/>
      <c r="F284" s="2202" t="str">
        <f>INDEX(PT_DIFFERENTIATION_VTAR,MATCH(A284,PT_DIFFERENTIATION_VTAR_ID,0))</f>
        <v>Тарифы на теплоноситель, поставляемый теплоснабжающими организациями потребителям, другим теплоснабжающим организациям</v>
      </c>
      <c r="G284" s="2248" t="str">
        <f>INDEX(PT_DIFFERENTIATION_NTAR,MATCH(B284,PT_DIFFERENTIATION_NTAR_ID,0))</f>
        <v>Тариф на теплоноситель, поставляемый обществом с ограниченной ответственностью "ПРОМ ИМПУЛЬС" потребителям, расположенным на территории Санкт-Петербурга</v>
      </c>
      <c r="H284" s="1887"/>
      <c r="I284" s="1763"/>
      <c r="J284" s="1798"/>
      <c r="K284" s="1803"/>
      <c r="L284" s="1887" t="s">
        <v>311</v>
      </c>
      <c r="M284" s="329"/>
      <c r="N284" s="322"/>
      <c r="O284" s="1649"/>
      <c r="P284" s="1649"/>
    </row>
    <row s="1660" customFormat="1" customHeight="1" ht="18.75" hidden="1">
      <c r="A285" s="1805"/>
      <c r="B285" s="1805"/>
      <c r="C285" s="361" t="s">
        <v>1060</v>
      </c>
      <c r="D285" s="2293"/>
      <c r="E285" s="2038"/>
      <c r="F285" s="2202"/>
      <c r="G285" s="2248"/>
      <c r="H285" s="1517"/>
      <c r="I285" s="646" t="s">
        <v>1059</v>
      </c>
      <c r="J285" s="567"/>
      <c r="K285" s="1517"/>
      <c r="L285" s="193"/>
      <c r="M285" s="329"/>
      <c r="N285" s="322"/>
      <c r="O285" s="1649"/>
      <c r="P285" s="1649"/>
    </row>
    <row s="1660" customFormat="1" customHeight="1" ht="0.75" hidden="1">
      <c r="A286" s="1805"/>
      <c r="B286" s="1805"/>
      <c r="C286" s="361" t="s">
        <v>1067</v>
      </c>
      <c r="D286" s="2293"/>
      <c r="E286" s="2038"/>
      <c r="F286" s="2202"/>
      <c r="G286" s="397"/>
      <c r="H286" s="1517"/>
      <c r="I286" s="646"/>
      <c r="J286" s="567"/>
      <c r="K286" s="1517"/>
      <c r="L286" s="193"/>
      <c r="M286" s="329"/>
      <c r="N286" s="322"/>
      <c r="O286" s="1649"/>
      <c r="P286" s="1649"/>
    </row>
    <row s="1660" customFormat="1" customHeight="1" ht="45" hidden="1">
      <c r="A287" s="1805" t="s">
        <v>192</v>
      </c>
      <c r="B287" s="1805" t="s">
        <v>193</v>
      </c>
      <c r="C287" s="361"/>
      <c r="D287" s="2293"/>
      <c r="E287" s="2038"/>
      <c r="F287" s="2202" t="str">
        <f>INDEX(PT_DIFFERENTIATION_VTAR,MATCH(A287,PT_DIFFERENTIATION_VTAR_ID,0))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87" s="2248" t="str">
        <f>INDEX(PT_DIFFERENTIATION_NTAR,MATCH(B287,PT_DIFFERENTIATION_NTAR_ID,0))</f>
        <v>Тариф на горячую воду (горячее водоснабжение), поставляемую обществом с ограниченной ответственностью "ПРОМ ИМПУЛЬС" в открытых системах теплоснабжения потребителям, расположенным на территории Санкт-Петербурга</v>
      </c>
      <c r="H287" s="1887"/>
      <c r="I287" s="1763"/>
      <c r="J287" s="1798"/>
      <c r="K287" s="1803"/>
      <c r="L287" s="1887" t="s">
        <v>311</v>
      </c>
      <c r="M287" s="329"/>
      <c r="N287" s="322"/>
      <c r="O287" s="1649"/>
      <c r="P287" s="1649"/>
    </row>
    <row s="1660" customFormat="1" customHeight="1" ht="18.75" hidden="1">
      <c r="A288" s="1805"/>
      <c r="B288" s="1805"/>
      <c r="C288" s="361" t="s">
        <v>1060</v>
      </c>
      <c r="D288" s="2293"/>
      <c r="E288" s="2038"/>
      <c r="F288" s="2202"/>
      <c r="G288" s="2248"/>
      <c r="H288" s="1517"/>
      <c r="I288" s="646" t="s">
        <v>1059</v>
      </c>
      <c r="J288" s="567"/>
      <c r="K288" s="1517"/>
      <c r="L288" s="193"/>
      <c r="M288" s="329"/>
      <c r="N288" s="322"/>
      <c r="O288" s="1649"/>
      <c r="P288" s="1649"/>
    </row>
    <row s="1660" customFormat="1" customHeight="1" ht="0.75" hidden="1">
      <c r="A289" s="1805"/>
      <c r="B289" s="1805"/>
      <c r="C289" s="361" t="s">
        <v>1067</v>
      </c>
      <c r="D289" s="2293"/>
      <c r="E289" s="2038"/>
      <c r="F289" s="2202"/>
      <c r="G289" s="397"/>
      <c r="H289" s="1517"/>
      <c r="I289" s="646"/>
      <c r="J289" s="567"/>
      <c r="K289" s="1517"/>
      <c r="L289" s="193"/>
      <c r="M289" s="329"/>
      <c r="N289" s="322"/>
      <c r="O289" s="1649"/>
      <c r="P289" s="1649"/>
    </row>
    <row s="1660" customFormat="1" customHeight="1" ht="18.75" hidden="1">
      <c r="A290" s="1805" t="s">
        <v>198</v>
      </c>
      <c r="B290" s="1805" t="s">
        <v>199</v>
      </c>
      <c r="C290" s="361"/>
      <c r="D290" s="2293"/>
      <c r="E290" s="2038"/>
      <c r="F290" s="2202" t="str">
        <f>INDEX(PT_DIFFERENTIATION_VTAR,MATCH(A290,PT_DIFFERENTIATION_VTAR_ID,0))</f>
        <v>Тарифы на услуги по передаче тепловой энергии</v>
      </c>
      <c r="G290" s="2248" t="str">
        <f>INDEX(PT_DIFFERENTIATION_NTAR,MATCH(B290,PT_DIFFERENTIATION_NTAR_ID,0))</f>
        <v/>
      </c>
      <c r="H290" s="1887"/>
      <c r="I290" s="1763"/>
      <c r="J290" s="1798"/>
      <c r="K290" s="1803"/>
      <c r="L290" s="1887" t="s">
        <v>311</v>
      </c>
      <c r="M290" s="329"/>
      <c r="N290" s="322"/>
      <c r="O290" s="1649"/>
      <c r="P290" s="1649"/>
    </row>
    <row s="1660" customFormat="1" customHeight="1" ht="18.75" hidden="1">
      <c r="A291" s="1805"/>
      <c r="B291" s="1805"/>
      <c r="C291" s="361" t="s">
        <v>1060</v>
      </c>
      <c r="D291" s="2293"/>
      <c r="E291" s="2038"/>
      <c r="F291" s="2202"/>
      <c r="G291" s="2248"/>
      <c r="H291" s="1517"/>
      <c r="I291" s="646" t="s">
        <v>1059</v>
      </c>
      <c r="J291" s="567"/>
      <c r="K291" s="1517"/>
      <c r="L291" s="193"/>
      <c r="M291" s="329"/>
      <c r="N291" s="322"/>
      <c r="O291" s="1649"/>
      <c r="P291" s="1649"/>
    </row>
    <row s="1660" customFormat="1" customHeight="1" ht="0.75" hidden="1">
      <c r="A292" s="1805"/>
      <c r="B292" s="1805"/>
      <c r="C292" s="361" t="s">
        <v>1067</v>
      </c>
      <c r="D292" s="2293"/>
      <c r="E292" s="2038"/>
      <c r="F292" s="2202"/>
      <c r="G292" s="397"/>
      <c r="H292" s="1517"/>
      <c r="I292" s="646"/>
      <c r="J292" s="567"/>
      <c r="K292" s="1517"/>
      <c r="L292" s="193"/>
      <c r="M292" s="329"/>
      <c r="N292" s="322"/>
      <c r="O292" s="1649"/>
      <c r="P292" s="1649"/>
    </row>
    <row s="1660" customFormat="1" customHeight="1" ht="18.75" hidden="1">
      <c r="A293" s="1805" t="s">
        <v>204</v>
      </c>
      <c r="B293" s="1805" t="s">
        <v>205</v>
      </c>
      <c r="C293" s="361"/>
      <c r="D293" s="2293"/>
      <c r="E293" s="2038"/>
      <c r="F293" s="2202" t="str">
        <f>INDEX(PT_DIFFERENTIATION_VTAR,MATCH(A293,PT_DIFFERENTIATION_VTAR_ID,0))</f>
        <v>Тарифы на услуги по передаче теплоносителя</v>
      </c>
      <c r="G293" s="2248" t="str">
        <f>INDEX(PT_DIFFERENTIATION_NTAR,MATCH(B293,PT_DIFFERENTIATION_NTAR_ID,0))</f>
        <v/>
      </c>
      <c r="H293" s="1887"/>
      <c r="I293" s="1763"/>
      <c r="J293" s="1798"/>
      <c r="K293" s="1803"/>
      <c r="L293" s="1887" t="s">
        <v>311</v>
      </c>
      <c r="M293" s="329"/>
      <c r="N293" s="322"/>
      <c r="O293" s="1649"/>
      <c r="P293" s="1649"/>
    </row>
    <row s="1660" customFormat="1" customHeight="1" ht="18.75" hidden="1">
      <c r="A294" s="1805"/>
      <c r="B294" s="1805"/>
      <c r="C294" s="361" t="s">
        <v>1060</v>
      </c>
      <c r="D294" s="2293"/>
      <c r="E294" s="2038"/>
      <c r="F294" s="2202"/>
      <c r="G294" s="2248"/>
      <c r="H294" s="1517"/>
      <c r="I294" s="646" t="s">
        <v>1059</v>
      </c>
      <c r="J294" s="567"/>
      <c r="K294" s="1517"/>
      <c r="L294" s="193"/>
      <c r="M294" s="329"/>
      <c r="N294" s="322"/>
      <c r="O294" s="1649"/>
      <c r="P294" s="1649"/>
    </row>
    <row s="1660" customFormat="1" customHeight="1" ht="0.75" hidden="1">
      <c r="A295" s="1805"/>
      <c r="B295" s="1805"/>
      <c r="C295" s="361" t="s">
        <v>1067</v>
      </c>
      <c r="D295" s="2293"/>
      <c r="E295" s="2038"/>
      <c r="F295" s="2202"/>
      <c r="G295" s="397"/>
      <c r="H295" s="1517"/>
      <c r="I295" s="646"/>
      <c r="J295" s="567"/>
      <c r="K295" s="1517"/>
      <c r="L295" s="193"/>
      <c r="M295" s="329"/>
      <c r="N295" s="322"/>
      <c r="O295" s="1649"/>
      <c r="P295" s="1649"/>
    </row>
    <row s="1660" customFormat="1" customHeight="1" ht="18.75" hidden="1">
      <c r="A296" s="1805" t="s">
        <v>210</v>
      </c>
      <c r="B296" s="1805" t="s">
        <v>211</v>
      </c>
      <c r="C296" s="361"/>
      <c r="D296" s="2293"/>
      <c r="E296" s="2038"/>
      <c r="F296" s="2202" t="str">
        <f>INDEX(PT_DIFFERENTIATION_VTAR,MATCH(A296,PT_DIFFERENTIATION_VTAR_ID,0))</f>
        <v>Плата за услуги по поддержанию резервной тепловой мощности при отсутствии потребления тепловой энергии</v>
      </c>
      <c r="G296" s="2248" t="str">
        <f>INDEX(PT_DIFFERENTIATION_NTAR,MATCH(B296,PT_DIFFERENTIATION_NTAR_ID,0))</f>
        <v/>
      </c>
      <c r="H296" s="1887"/>
      <c r="I296" s="1763"/>
      <c r="J296" s="1798"/>
      <c r="K296" s="1803"/>
      <c r="L296" s="1887" t="s">
        <v>311</v>
      </c>
      <c r="M296" s="329"/>
      <c r="N296" s="322"/>
      <c r="O296" s="1649"/>
      <c r="P296" s="1649"/>
    </row>
    <row s="1660" customFormat="1" customHeight="1" ht="18.75" hidden="1">
      <c r="A297" s="1805"/>
      <c r="B297" s="1805"/>
      <c r="C297" s="361" t="s">
        <v>1060</v>
      </c>
      <c r="D297" s="2293"/>
      <c r="E297" s="2038"/>
      <c r="F297" s="2202"/>
      <c r="G297" s="2248"/>
      <c r="H297" s="1517"/>
      <c r="I297" s="646" t="s">
        <v>1059</v>
      </c>
      <c r="J297" s="567"/>
      <c r="K297" s="1517"/>
      <c r="L297" s="193"/>
      <c r="M297" s="329"/>
      <c r="N297" s="322"/>
      <c r="O297" s="1649"/>
      <c r="P297" s="1649"/>
    </row>
    <row s="1660" customFormat="1" customHeight="1" ht="0.75" hidden="1">
      <c r="A298" s="1805"/>
      <c r="B298" s="1805"/>
      <c r="C298" s="361" t="s">
        <v>1067</v>
      </c>
      <c r="D298" s="2293"/>
      <c r="E298" s="2038"/>
      <c r="F298" s="2202"/>
      <c r="G298" s="397"/>
      <c r="H298" s="1517"/>
      <c r="I298" s="646"/>
      <c r="J298" s="567"/>
      <c r="K298" s="1517"/>
      <c r="L298" s="193"/>
      <c r="M298" s="329"/>
      <c r="N298" s="322"/>
      <c r="O298" s="1649"/>
      <c r="P298" s="1649"/>
    </row>
    <row s="1660" customFormat="1" customHeight="1" ht="18.75" hidden="1">
      <c r="A299" s="1805" t="s">
        <v>216</v>
      </c>
      <c r="B299" s="1805" t="s">
        <v>217</v>
      </c>
      <c r="C299" s="361"/>
      <c r="D299" s="2293"/>
      <c r="E299" s="2038"/>
      <c r="F299" s="2202" t="str">
        <f>INDEX(PT_DIFFERENTIATION_VTAR,MATCH(A299,PT_DIFFERENTIATION_VTAR_ID,0))</f>
        <v>Плата за подключение (технологическое присоединение) к системе теплоснабжения</v>
      </c>
      <c r="G299" s="2248" t="str">
        <f>INDEX(PT_DIFFERENTIATION_NTAR,MATCH(B299,PT_DIFFERENTIATION_NTAR_ID,0))</f>
        <v/>
      </c>
      <c r="H299" s="1887"/>
      <c r="I299" s="1763"/>
      <c r="J299" s="1798"/>
      <c r="K299" s="1803"/>
      <c r="L299" s="1887" t="s">
        <v>311</v>
      </c>
      <c r="M299" s="329"/>
      <c r="N299" s="322"/>
      <c r="O299" s="1649"/>
      <c r="P299" s="1649"/>
    </row>
    <row s="1660" customFormat="1" customHeight="1" ht="18.75" hidden="1">
      <c r="A300" s="1805"/>
      <c r="B300" s="1805"/>
      <c r="C300" s="361" t="s">
        <v>1060</v>
      </c>
      <c r="D300" s="2293"/>
      <c r="E300" s="2038"/>
      <c r="F300" s="2202"/>
      <c r="G300" s="2248"/>
      <c r="H300" s="1517"/>
      <c r="I300" s="646" t="s">
        <v>1059</v>
      </c>
      <c r="J300" s="567"/>
      <c r="K300" s="1517"/>
      <c r="L300" s="193"/>
      <c r="M300" s="329"/>
      <c r="N300" s="322"/>
      <c r="O300" s="1649"/>
      <c r="P300" s="1649"/>
    </row>
    <row s="1660" customFormat="1" customHeight="1" ht="0.75" hidden="1">
      <c r="A301" s="1805"/>
      <c r="B301" s="1805"/>
      <c r="C301" s="361" t="s">
        <v>1067</v>
      </c>
      <c r="D301" s="2293"/>
      <c r="E301" s="2038"/>
      <c r="F301" s="2202"/>
      <c r="G301" s="397"/>
      <c r="H301" s="1517"/>
      <c r="I301" s="646"/>
      <c r="J301" s="567"/>
      <c r="K301" s="1517"/>
      <c r="L301" s="193"/>
      <c r="M301" s="329"/>
      <c r="N301" s="322"/>
      <c r="O301" s="1649"/>
      <c r="P301" s="1649"/>
    </row>
    <row s="1660" customFormat="1" customHeight="1" ht="18.75" hidden="1">
      <c r="A302" s="1805" t="s">
        <v>230</v>
      </c>
      <c r="B302" s="1805" t="s">
        <v>231</v>
      </c>
      <c r="C302" s="361"/>
      <c r="D302" s="2293"/>
      <c r="E302" s="2038"/>
      <c r="F302" s="2202" t="str">
        <f>INDEX(PT_DIFFERENTIATION_VTAR,MATCH(A302,PT_DIFFERENTIATION_VTAR_ID,0))</f>
        <v>Тариф на питьевую воду (питьевое водоснабжение)</v>
      </c>
      <c r="G302" s="2248" t="str">
        <f>INDEX(PT_DIFFERENTIATION_NTAR,MATCH(B302,PT_DIFFERENTIATION_NTAR_ID,0))</f>
        <v/>
      </c>
      <c r="H302" s="1887"/>
      <c r="I302" s="1763"/>
      <c r="J302" s="1798"/>
      <c r="K302" s="1803"/>
      <c r="L302" s="1887" t="s">
        <v>311</v>
      </c>
      <c r="M302" s="329"/>
      <c r="N302" s="322"/>
      <c r="O302" s="1649"/>
      <c r="P302" s="1649"/>
    </row>
    <row s="1660" customFormat="1" customHeight="1" ht="18.75" hidden="1">
      <c r="A303" s="1805"/>
      <c r="B303" s="1805"/>
      <c r="C303" s="361" t="s">
        <v>1060</v>
      </c>
      <c r="D303" s="2293"/>
      <c r="E303" s="2038"/>
      <c r="F303" s="2202"/>
      <c r="G303" s="2248"/>
      <c r="H303" s="1517"/>
      <c r="I303" s="646" t="s">
        <v>1059</v>
      </c>
      <c r="J303" s="567"/>
      <c r="K303" s="1517"/>
      <c r="L303" s="193"/>
      <c r="M303" s="329"/>
      <c r="N303" s="322"/>
      <c r="O303" s="1649"/>
      <c r="P303" s="1649"/>
    </row>
    <row s="1660" customFormat="1" customHeight="1" ht="0.75" hidden="1">
      <c r="A304" s="1805"/>
      <c r="B304" s="1805"/>
      <c r="C304" s="361" t="s">
        <v>1067</v>
      </c>
      <c r="D304" s="2293"/>
      <c r="E304" s="2038"/>
      <c r="F304" s="2202"/>
      <c r="G304" s="397"/>
      <c r="H304" s="1517"/>
      <c r="I304" s="646"/>
      <c r="J304" s="567"/>
      <c r="K304" s="1517"/>
      <c r="L304" s="193"/>
      <c r="M304" s="329"/>
      <c r="N304" s="322"/>
      <c r="O304" s="1649"/>
      <c r="P304" s="1649"/>
    </row>
    <row s="1660" customFormat="1" customHeight="1" ht="18.75" hidden="1">
      <c r="A305" s="1805" t="s">
        <v>235</v>
      </c>
      <c r="B305" s="1805" t="s">
        <v>236</v>
      </c>
      <c r="C305" s="361"/>
      <c r="D305" s="2293"/>
      <c r="E305" s="2038"/>
      <c r="F305" s="2202" t="str">
        <f>INDEX(PT_DIFFERENTIATION_VTAR,MATCH(A305,PT_DIFFERENTIATION_VTAR_ID,0))</f>
        <v>Тариф на техническую воду</v>
      </c>
      <c r="G305" s="2248" t="str">
        <f>INDEX(PT_DIFFERENTIATION_NTAR,MATCH(B305,PT_DIFFERENTIATION_NTAR_ID,0))</f>
        <v/>
      </c>
      <c r="H305" s="1887"/>
      <c r="I305" s="1763"/>
      <c r="J305" s="1798"/>
      <c r="K305" s="1803"/>
      <c r="L305" s="1887" t="s">
        <v>311</v>
      </c>
      <c r="M305" s="329"/>
      <c r="N305" s="322"/>
      <c r="O305" s="1649"/>
      <c r="P305" s="1649"/>
    </row>
    <row s="1660" customFormat="1" customHeight="1" ht="18.75" hidden="1">
      <c r="A306" s="1805"/>
      <c r="B306" s="1805"/>
      <c r="C306" s="361" t="s">
        <v>1060</v>
      </c>
      <c r="D306" s="2293"/>
      <c r="E306" s="2038"/>
      <c r="F306" s="2202"/>
      <c r="G306" s="2248"/>
      <c r="H306" s="1517"/>
      <c r="I306" s="646" t="s">
        <v>1059</v>
      </c>
      <c r="J306" s="567"/>
      <c r="K306" s="1517"/>
      <c r="L306" s="193"/>
      <c r="M306" s="329"/>
      <c r="N306" s="322"/>
      <c r="O306" s="1649"/>
      <c r="P306" s="1649"/>
    </row>
    <row s="1660" customFormat="1" customHeight="1" ht="0.75" hidden="1">
      <c r="A307" s="1805"/>
      <c r="B307" s="1805"/>
      <c r="C307" s="361" t="s">
        <v>1067</v>
      </c>
      <c r="D307" s="2293"/>
      <c r="E307" s="2038"/>
      <c r="F307" s="2202"/>
      <c r="G307" s="397"/>
      <c r="H307" s="1517"/>
      <c r="I307" s="646"/>
      <c r="J307" s="567"/>
      <c r="K307" s="1517"/>
      <c r="L307" s="193"/>
      <c r="M307" s="329"/>
      <c r="N307" s="322"/>
      <c r="O307" s="1649"/>
      <c r="P307" s="1649"/>
    </row>
    <row s="1660" customFormat="1" customHeight="1" ht="18.75" hidden="1">
      <c r="A308" s="1805" t="s">
        <v>240</v>
      </c>
      <c r="B308" s="1805" t="s">
        <v>241</v>
      </c>
      <c r="C308" s="361"/>
      <c r="D308" s="2293"/>
      <c r="E308" s="2038"/>
      <c r="F308" s="2202" t="str">
        <f>INDEX(PT_DIFFERENTIATION_VTAR,MATCH(A308,PT_DIFFERENTIATION_VTAR_ID,0))</f>
        <v>Тариф на транспортировку воды</v>
      </c>
      <c r="G308" s="2248" t="str">
        <f>INDEX(PT_DIFFERENTIATION_NTAR,MATCH(B308,PT_DIFFERENTIATION_NTAR_ID,0))</f>
        <v/>
      </c>
      <c r="H308" s="1887"/>
      <c r="I308" s="1763"/>
      <c r="J308" s="1798"/>
      <c r="K308" s="1803"/>
      <c r="L308" s="1887" t="s">
        <v>311</v>
      </c>
      <c r="M308" s="329"/>
      <c r="N308" s="322"/>
      <c r="O308" s="1649"/>
      <c r="P308" s="1649"/>
    </row>
    <row s="1660" customFormat="1" customHeight="1" ht="18.75" hidden="1">
      <c r="A309" s="1805"/>
      <c r="B309" s="1805"/>
      <c r="C309" s="361" t="s">
        <v>1060</v>
      </c>
      <c r="D309" s="2293"/>
      <c r="E309" s="2038"/>
      <c r="F309" s="2202"/>
      <c r="G309" s="2248"/>
      <c r="H309" s="1517"/>
      <c r="I309" s="646" t="s">
        <v>1059</v>
      </c>
      <c r="J309" s="567"/>
      <c r="K309" s="1517"/>
      <c r="L309" s="193"/>
      <c r="M309" s="329"/>
      <c r="N309" s="322"/>
      <c r="O309" s="1649"/>
      <c r="P309" s="1649"/>
    </row>
    <row s="1660" customFormat="1" customHeight="1" ht="0.75" hidden="1">
      <c r="A310" s="1805"/>
      <c r="B310" s="1805"/>
      <c r="C310" s="361" t="s">
        <v>1067</v>
      </c>
      <c r="D310" s="2293"/>
      <c r="E310" s="2038"/>
      <c r="F310" s="2202"/>
      <c r="G310" s="397"/>
      <c r="H310" s="1517"/>
      <c r="I310" s="646"/>
      <c r="J310" s="567"/>
      <c r="K310" s="1517"/>
      <c r="L310" s="193"/>
      <c r="M310" s="329"/>
      <c r="N310" s="322"/>
      <c r="O310" s="1649"/>
      <c r="P310" s="1649"/>
    </row>
    <row s="1660" customFormat="1" customHeight="1" ht="18.75" hidden="1">
      <c r="A311" s="1805" t="s">
        <v>245</v>
      </c>
      <c r="B311" s="1805" t="s">
        <v>246</v>
      </c>
      <c r="C311" s="361"/>
      <c r="D311" s="2293"/>
      <c r="E311" s="2038"/>
      <c r="F311" s="2202" t="str">
        <f>INDEX(PT_DIFFERENTIATION_VTAR,MATCH(A311,PT_DIFFERENTIATION_VTAR_ID,0))</f>
        <v>Тариф на подвоз воды</v>
      </c>
      <c r="G311" s="2248" t="str">
        <f>INDEX(PT_DIFFERENTIATION_NTAR,MATCH(B311,PT_DIFFERENTIATION_NTAR_ID,0))</f>
        <v/>
      </c>
      <c r="H311" s="1887"/>
      <c r="I311" s="1763"/>
      <c r="J311" s="1798"/>
      <c r="K311" s="1803"/>
      <c r="L311" s="1887" t="s">
        <v>311</v>
      </c>
      <c r="M311" s="329"/>
      <c r="N311" s="322"/>
      <c r="O311" s="1649"/>
      <c r="P311" s="1649"/>
    </row>
    <row s="1660" customFormat="1" customHeight="1" ht="18.75" hidden="1">
      <c r="A312" s="1805"/>
      <c r="B312" s="1805"/>
      <c r="C312" s="361" t="s">
        <v>1060</v>
      </c>
      <c r="D312" s="2293"/>
      <c r="E312" s="2038"/>
      <c r="F312" s="2202"/>
      <c r="G312" s="2248"/>
      <c r="H312" s="1517"/>
      <c r="I312" s="646" t="s">
        <v>1059</v>
      </c>
      <c r="J312" s="567"/>
      <c r="K312" s="1517"/>
      <c r="L312" s="193"/>
      <c r="M312" s="329"/>
      <c r="N312" s="322"/>
      <c r="O312" s="1649"/>
      <c r="P312" s="1649"/>
    </row>
    <row s="1660" customFormat="1" customHeight="1" ht="0.75" hidden="1">
      <c r="A313" s="1805"/>
      <c r="B313" s="1805"/>
      <c r="C313" s="361" t="s">
        <v>1067</v>
      </c>
      <c r="D313" s="2293"/>
      <c r="E313" s="2038"/>
      <c r="F313" s="2202"/>
      <c r="G313" s="397"/>
      <c r="H313" s="1517"/>
      <c r="I313" s="646"/>
      <c r="J313" s="567"/>
      <c r="K313" s="1517"/>
      <c r="L313" s="193"/>
      <c r="M313" s="329"/>
      <c r="N313" s="322"/>
      <c r="O313" s="1649"/>
      <c r="P313" s="1649"/>
    </row>
    <row s="1660" customFormat="1" customHeight="1" ht="18.75" hidden="1">
      <c r="A314" s="1805" t="s">
        <v>250</v>
      </c>
      <c r="B314" s="1805" t="s">
        <v>251</v>
      </c>
      <c r="C314" s="361"/>
      <c r="D314" s="2293"/>
      <c r="E314" s="2038"/>
      <c r="F314" s="2202" t="str">
        <f>INDEX(PT_DIFFERENTIATION_VTAR,MATCH(A314,PT_DIFFERENTIATION_VTAR_ID,0))</f>
        <v>Тариф на подключение (технологическое присоединение) к централизованной системе холодного водоснабжения</v>
      </c>
      <c r="G314" s="2248" t="str">
        <f>INDEX(PT_DIFFERENTIATION_NTAR,MATCH(B314,PT_DIFFERENTIATION_NTAR_ID,0))</f>
        <v/>
      </c>
      <c r="H314" s="1887"/>
      <c r="I314" s="1763"/>
      <c r="J314" s="1798"/>
      <c r="K314" s="1803"/>
      <c r="L314" s="1887" t="s">
        <v>311</v>
      </c>
      <c r="M314" s="329"/>
      <c r="N314" s="322"/>
      <c r="O314" s="1649"/>
      <c r="P314" s="1649"/>
    </row>
    <row s="1660" customFormat="1" customHeight="1" ht="18.75" hidden="1">
      <c r="A315" s="1805"/>
      <c r="B315" s="1805"/>
      <c r="C315" s="361" t="s">
        <v>1060</v>
      </c>
      <c r="D315" s="2293"/>
      <c r="E315" s="2038"/>
      <c r="F315" s="2202"/>
      <c r="G315" s="2248"/>
      <c r="H315" s="1517"/>
      <c r="I315" s="646" t="s">
        <v>1059</v>
      </c>
      <c r="J315" s="567"/>
      <c r="K315" s="1517"/>
      <c r="L315" s="193"/>
      <c r="M315" s="329"/>
      <c r="N315" s="322"/>
      <c r="O315" s="1649"/>
      <c r="P315" s="1649"/>
    </row>
    <row s="1660" customFormat="1" customHeight="1" ht="0.75" hidden="1">
      <c r="A316" s="1805"/>
      <c r="B316" s="1805"/>
      <c r="C316" s="361" t="s">
        <v>1067</v>
      </c>
      <c r="D316" s="2293"/>
      <c r="E316" s="2038"/>
      <c r="F316" s="2202"/>
      <c r="G316" s="397"/>
      <c r="H316" s="1517"/>
      <c r="I316" s="646"/>
      <c r="J316" s="567"/>
      <c r="K316" s="1517"/>
      <c r="L316" s="193"/>
      <c r="M316" s="329"/>
      <c r="N316" s="322"/>
      <c r="O316" s="1649"/>
      <c r="P316" s="1649"/>
    </row>
    <row s="1660" customFormat="1" customHeight="1" ht="18.75" hidden="1">
      <c r="A317" s="1805" t="s">
        <v>255</v>
      </c>
      <c r="B317" s="1805" t="s">
        <v>256</v>
      </c>
      <c r="C317" s="361"/>
      <c r="D317" s="2293"/>
      <c r="E317" s="2038"/>
      <c r="F317" s="2202" t="str">
        <f>INDEX(PT_DIFFERENTIATION_VTAR,MATCH(A317,PT_DIFFERENTIATION_VTAR_ID,0))</f>
        <v>Тариф на горячую воду (горячее водоснабжение)</v>
      </c>
      <c r="G317" s="2248" t="str">
        <f>INDEX(PT_DIFFERENTIATION_NTAR,MATCH(B317,PT_DIFFERENTIATION_NTAR_ID,0))</f>
        <v/>
      </c>
      <c r="H317" s="1887"/>
      <c r="I317" s="1763"/>
      <c r="J317" s="1798"/>
      <c r="K317" s="1803"/>
      <c r="L317" s="1887" t="s">
        <v>311</v>
      </c>
      <c r="M317" s="329"/>
      <c r="N317" s="322"/>
      <c r="O317" s="1649"/>
      <c r="P317" s="1649"/>
    </row>
    <row s="1660" customFormat="1" customHeight="1" ht="18.75" hidden="1">
      <c r="A318" s="1805"/>
      <c r="B318" s="1805"/>
      <c r="C318" s="361" t="s">
        <v>1060</v>
      </c>
      <c r="D318" s="2293"/>
      <c r="E318" s="2038"/>
      <c r="F318" s="2202"/>
      <c r="G318" s="2248"/>
      <c r="H318" s="1517"/>
      <c r="I318" s="646" t="s">
        <v>1059</v>
      </c>
      <c r="J318" s="567"/>
      <c r="K318" s="1517"/>
      <c r="L318" s="193"/>
      <c r="M318" s="329"/>
      <c r="N318" s="322"/>
      <c r="O318" s="1649"/>
      <c r="P318" s="1649"/>
    </row>
    <row s="1660" customFormat="1" customHeight="1" ht="0.75" hidden="1">
      <c r="A319" s="1805"/>
      <c r="B319" s="1805"/>
      <c r="C319" s="361" t="s">
        <v>1067</v>
      </c>
      <c r="D319" s="2293"/>
      <c r="E319" s="2038"/>
      <c r="F319" s="2202"/>
      <c r="G319" s="397"/>
      <c r="H319" s="1517"/>
      <c r="I319" s="646"/>
      <c r="J319" s="567"/>
      <c r="K319" s="1517"/>
      <c r="L319" s="193"/>
      <c r="M319" s="329"/>
      <c r="N319" s="322"/>
      <c r="O319" s="1649"/>
      <c r="P319" s="1649"/>
    </row>
    <row s="1660" customFormat="1" customHeight="1" ht="18.75" hidden="1">
      <c r="A320" s="1805" t="s">
        <v>260</v>
      </c>
      <c r="B320" s="1805" t="s">
        <v>261</v>
      </c>
      <c r="C320" s="361"/>
      <c r="D320" s="2293"/>
      <c r="E320" s="2038"/>
      <c r="F320" s="2202" t="str">
        <f>INDEX(PT_DIFFERENTIATION_VTAR,MATCH(A320,PT_DIFFERENTIATION_VTAR_ID,0))</f>
        <v>Тариф на транспортировку горячей воды</v>
      </c>
      <c r="G320" s="2248" t="str">
        <f>INDEX(PT_DIFFERENTIATION_NTAR,MATCH(B320,PT_DIFFERENTIATION_NTAR_ID,0))</f>
        <v/>
      </c>
      <c r="H320" s="1887"/>
      <c r="I320" s="1763"/>
      <c r="J320" s="1798"/>
      <c r="K320" s="1803"/>
      <c r="L320" s="1887" t="s">
        <v>311</v>
      </c>
      <c r="M320" s="329"/>
      <c r="N320" s="322"/>
      <c r="O320" s="1649"/>
      <c r="P320" s="1649"/>
    </row>
    <row s="1660" customFormat="1" customHeight="1" ht="18.75" hidden="1">
      <c r="A321" s="1805"/>
      <c r="B321" s="1805"/>
      <c r="C321" s="361" t="s">
        <v>1060</v>
      </c>
      <c r="D321" s="2293"/>
      <c r="E321" s="2038"/>
      <c r="F321" s="2202"/>
      <c r="G321" s="2248"/>
      <c r="H321" s="1517"/>
      <c r="I321" s="646" t="s">
        <v>1059</v>
      </c>
      <c r="J321" s="567"/>
      <c r="K321" s="1517"/>
      <c r="L321" s="193"/>
      <c r="M321" s="329"/>
      <c r="N321" s="322"/>
      <c r="O321" s="1649"/>
      <c r="P321" s="1649"/>
    </row>
    <row s="1660" customFormat="1" customHeight="1" ht="0.75" hidden="1">
      <c r="A322" s="1805"/>
      <c r="B322" s="1805"/>
      <c r="C322" s="361" t="s">
        <v>1067</v>
      </c>
      <c r="D322" s="2293"/>
      <c r="E322" s="2038"/>
      <c r="F322" s="2202"/>
      <c r="G322" s="397"/>
      <c r="H322" s="1517"/>
      <c r="I322" s="646"/>
      <c r="J322" s="567"/>
      <c r="K322" s="1517"/>
      <c r="L322" s="193"/>
      <c r="M322" s="329"/>
      <c r="N322" s="322"/>
      <c r="O322" s="1649"/>
      <c r="P322" s="1649"/>
    </row>
    <row s="1660" customFormat="1" customHeight="1" ht="18.75" hidden="1">
      <c r="A323" s="1805" t="s">
        <v>265</v>
      </c>
      <c r="B323" s="1805" t="s">
        <v>266</v>
      </c>
      <c r="C323" s="361"/>
      <c r="D323" s="2293"/>
      <c r="E323" s="2038"/>
      <c r="F323" s="2202" t="str">
        <f>INDEX(PT_DIFFERENTIATION_VTAR,MATCH(A323,PT_DIFFERENTIATION_VTAR_ID,0))</f>
        <v>Тариф на подключение (технологическое присоединение) к централизованной системе горячего водоснабжения</v>
      </c>
      <c r="G323" s="2248" t="str">
        <f>INDEX(PT_DIFFERENTIATION_NTAR,MATCH(B323,PT_DIFFERENTIATION_NTAR_ID,0))</f>
        <v/>
      </c>
      <c r="H323" s="1887"/>
      <c r="I323" s="1763"/>
      <c r="J323" s="1798"/>
      <c r="K323" s="1803"/>
      <c r="L323" s="1887" t="s">
        <v>311</v>
      </c>
      <c r="M323" s="329"/>
      <c r="N323" s="322"/>
      <c r="O323" s="1649"/>
      <c r="P323" s="1649"/>
    </row>
    <row s="1660" customFormat="1" customHeight="1" ht="18.75" hidden="1">
      <c r="A324" s="1805"/>
      <c r="B324" s="1805"/>
      <c r="C324" s="361" t="s">
        <v>1060</v>
      </c>
      <c r="D324" s="2293"/>
      <c r="E324" s="2038"/>
      <c r="F324" s="2202"/>
      <c r="G324" s="2248"/>
      <c r="H324" s="1517"/>
      <c r="I324" s="646" t="s">
        <v>1059</v>
      </c>
      <c r="J324" s="567"/>
      <c r="K324" s="1517"/>
      <c r="L324" s="193"/>
      <c r="M324" s="329"/>
      <c r="N324" s="322"/>
      <c r="O324" s="1649"/>
      <c r="P324" s="1649"/>
    </row>
    <row s="1660" customFormat="1" customHeight="1" ht="0.75" hidden="1">
      <c r="A325" s="1805"/>
      <c r="B325" s="1805"/>
      <c r="C325" s="361" t="s">
        <v>1067</v>
      </c>
      <c r="D325" s="2293"/>
      <c r="E325" s="2038"/>
      <c r="F325" s="2202"/>
      <c r="G325" s="397"/>
      <c r="H325" s="1517"/>
      <c r="I325" s="646"/>
      <c r="J325" s="567"/>
      <c r="K325" s="1517"/>
      <c r="L325" s="193"/>
      <c r="M325" s="329"/>
      <c r="N325" s="322"/>
      <c r="O325" s="1649"/>
      <c r="P325" s="1649"/>
    </row>
    <row s="1660" customFormat="1" customHeight="1" ht="18.75" hidden="1">
      <c r="A326" s="1805" t="s">
        <v>270</v>
      </c>
      <c r="B326" s="1805" t="s">
        <v>271</v>
      </c>
      <c r="C326" s="361"/>
      <c r="D326" s="2293"/>
      <c r="E326" s="2038"/>
      <c r="F326" s="2202" t="str">
        <f>INDEX(PT_DIFFERENTIATION_VTAR,MATCH(A326,PT_DIFFERENTIATION_VTAR_ID,0))</f>
        <v>Тариф на водоотведение</v>
      </c>
      <c r="G326" s="2248" t="str">
        <f>INDEX(PT_DIFFERENTIATION_NTAR,MATCH(B326,PT_DIFFERENTIATION_NTAR_ID,0))</f>
        <v/>
      </c>
      <c r="H326" s="1887"/>
      <c r="I326" s="1763"/>
      <c r="J326" s="1798"/>
      <c r="K326" s="1803"/>
      <c r="L326" s="1887" t="s">
        <v>311</v>
      </c>
      <c r="M326" s="329"/>
      <c r="N326" s="322"/>
      <c r="O326" s="1649"/>
      <c r="P326" s="1649"/>
    </row>
    <row s="1660" customFormat="1" customHeight="1" ht="18.75" hidden="1">
      <c r="A327" s="1805"/>
      <c r="B327" s="1805"/>
      <c r="C327" s="361" t="s">
        <v>1060</v>
      </c>
      <c r="D327" s="2293"/>
      <c r="E327" s="2038"/>
      <c r="F327" s="2202"/>
      <c r="G327" s="2248"/>
      <c r="H327" s="1517"/>
      <c r="I327" s="646" t="s">
        <v>1059</v>
      </c>
      <c r="J327" s="567"/>
      <c r="K327" s="1517"/>
      <c r="L327" s="193"/>
      <c r="M327" s="329"/>
      <c r="N327" s="322"/>
      <c r="O327" s="1649"/>
      <c r="P327" s="1649"/>
    </row>
    <row s="1660" customFormat="1" customHeight="1" ht="0.75" hidden="1">
      <c r="A328" s="1805"/>
      <c r="B328" s="1805"/>
      <c r="C328" s="361" t="s">
        <v>1067</v>
      </c>
      <c r="D328" s="2293"/>
      <c r="E328" s="2038"/>
      <c r="F328" s="2202"/>
      <c r="G328" s="397"/>
      <c r="H328" s="1517"/>
      <c r="I328" s="646"/>
      <c r="J328" s="567"/>
      <c r="K328" s="1517"/>
      <c r="L328" s="193"/>
      <c r="M328" s="329"/>
      <c r="N328" s="322"/>
      <c r="O328" s="1649"/>
      <c r="P328" s="1649"/>
    </row>
    <row s="1660" customFormat="1" customHeight="1" ht="18.75" hidden="1">
      <c r="A329" s="1805" t="s">
        <v>275</v>
      </c>
      <c r="B329" s="1805" t="s">
        <v>276</v>
      </c>
      <c r="C329" s="361"/>
      <c r="D329" s="2293"/>
      <c r="E329" s="2038"/>
      <c r="F329" s="2202" t="str">
        <f>INDEX(PT_DIFFERENTIATION_VTAR,MATCH(A329,PT_DIFFERENTIATION_VTAR_ID,0))</f>
        <v>Тариф на транспортировку сточных вод</v>
      </c>
      <c r="G329" s="2248" t="str">
        <f>INDEX(PT_DIFFERENTIATION_NTAR,MATCH(B329,PT_DIFFERENTIATION_NTAR_ID,0))</f>
        <v/>
      </c>
      <c r="H329" s="1887"/>
      <c r="I329" s="1763"/>
      <c r="J329" s="1798"/>
      <c r="K329" s="1803"/>
      <c r="L329" s="1887" t="s">
        <v>311</v>
      </c>
      <c r="M329" s="329"/>
      <c r="N329" s="322"/>
      <c r="O329" s="1649"/>
      <c r="P329" s="1649"/>
    </row>
    <row s="1660" customFormat="1" customHeight="1" ht="18.75" hidden="1">
      <c r="A330" s="1805"/>
      <c r="B330" s="1805"/>
      <c r="C330" s="361" t="s">
        <v>1060</v>
      </c>
      <c r="D330" s="2293"/>
      <c r="E330" s="2038"/>
      <c r="F330" s="2202"/>
      <c r="G330" s="2248"/>
      <c r="H330" s="1517"/>
      <c r="I330" s="646" t="s">
        <v>1059</v>
      </c>
      <c r="J330" s="567"/>
      <c r="K330" s="1517"/>
      <c r="L330" s="193"/>
      <c r="M330" s="329"/>
      <c r="N330" s="322"/>
      <c r="O330" s="1649"/>
      <c r="P330" s="1649"/>
    </row>
    <row s="1660" customFormat="1" customHeight="1" ht="0.75" hidden="1">
      <c r="A331" s="1805"/>
      <c r="B331" s="1805"/>
      <c r="C331" s="361" t="s">
        <v>1067</v>
      </c>
      <c r="D331" s="2293"/>
      <c r="E331" s="2038"/>
      <c r="F331" s="2202"/>
      <c r="G331" s="397"/>
      <c r="H331" s="1517"/>
      <c r="I331" s="646"/>
      <c r="J331" s="567"/>
      <c r="K331" s="1517"/>
      <c r="L331" s="193"/>
      <c r="M331" s="329"/>
      <c r="N331" s="322"/>
      <c r="O331" s="1649"/>
      <c r="P331" s="1649"/>
    </row>
    <row s="1660" customFormat="1" customHeight="1" ht="18.75" hidden="1">
      <c r="A332" s="1805" t="s">
        <v>280</v>
      </c>
      <c r="B332" s="1805" t="s">
        <v>281</v>
      </c>
      <c r="C332" s="361"/>
      <c r="D332" s="2293"/>
      <c r="E332" s="2038"/>
      <c r="F332" s="2202" t="str">
        <f>INDEX(PT_DIFFERENTIATION_VTAR,MATCH(A332,PT_DIFFERENTIATION_VTAR_ID,0))</f>
        <v>Тариф на подключение (технологическое присоединение) к централизованной системе водоотведения</v>
      </c>
      <c r="G332" s="2248" t="str">
        <f>INDEX(PT_DIFFERENTIATION_NTAR,MATCH(B332,PT_DIFFERENTIATION_NTAR_ID,0))</f>
        <v/>
      </c>
      <c r="H332" s="1887"/>
      <c r="I332" s="1763"/>
      <c r="J332" s="1798"/>
      <c r="K332" s="1803"/>
      <c r="L332" s="1887" t="s">
        <v>311</v>
      </c>
      <c r="M332" s="329"/>
      <c r="N332" s="322"/>
      <c r="O332" s="1649"/>
      <c r="P332" s="1649"/>
    </row>
    <row s="1660" customFormat="1" customHeight="1" ht="18.75" hidden="1">
      <c r="A333" s="1805"/>
      <c r="B333" s="1805"/>
      <c r="C333" s="361" t="s">
        <v>1060</v>
      </c>
      <c r="D333" s="2293"/>
      <c r="E333" s="2038"/>
      <c r="F333" s="2202"/>
      <c r="G333" s="2248"/>
      <c r="H333" s="1517"/>
      <c r="I333" s="646" t="s">
        <v>1059</v>
      </c>
      <c r="J333" s="567"/>
      <c r="K333" s="1517"/>
      <c r="L333" s="193"/>
      <c r="M333" s="329"/>
      <c r="N333" s="322"/>
      <c r="O333" s="1649"/>
      <c r="P333" s="1649"/>
    </row>
    <row s="1660" customFormat="1" customHeight="1" ht="0.75">
      <c r="A334" s="1805"/>
      <c r="B334" s="1805"/>
      <c r="C334" s="361" t="s">
        <v>1067</v>
      </c>
      <c r="D334" s="2293"/>
      <c r="E334" s="2038"/>
      <c r="F334" s="2202"/>
      <c r="G334" s="397"/>
      <c r="H334" s="1517"/>
      <c r="I334" s="646"/>
      <c r="J334" s="567"/>
      <c r="K334" s="1517"/>
      <c r="L334" s="193"/>
      <c r="M334" s="329"/>
      <c r="N334" s="322"/>
      <c r="O334" s="1649"/>
      <c r="P334" s="1649"/>
    </row>
    <row s="1848" customFormat="1" customHeight="1" ht="3">
      <c r="A335" s="1805"/>
      <c r="B335" s="1805"/>
      <c r="C335" s="1806"/>
      <c r="E335" s="399"/>
      <c r="F335" s="399"/>
      <c r="G335" s="399"/>
      <c r="H335" s="399"/>
      <c r="I335" s="399"/>
      <c r="J335" s="399"/>
      <c r="K335" s="399"/>
      <c r="L335" s="399"/>
      <c r="M335" s="399"/>
      <c r="O335" s="175"/>
      <c r="P335" s="175"/>
    </row>
    <row customHeight="1" ht="24.75">
      <c r="E336" s="181"/>
      <c r="F336" s="2088"/>
      <c r="G336" s="2088"/>
      <c r="H336" s="2088"/>
      <c r="I336" s="2088"/>
      <c r="J336" s="2088"/>
      <c r="K336" s="2088"/>
      <c r="L336" s="2088"/>
      <c r="M336" s="2088"/>
    </row>
  </sheetData>
  <sheetProtection formatColumns="0" formatRows="0" autoFilter="0" sort="0" insertRows="0" insertColumns="1" deleteRows="0" deleteColumns="0"/>
  <mergeCells count="418">
    <mergeCell ref="G320:G321"/>
    <mergeCell ref="G323:G324"/>
    <mergeCell ref="G326:G327"/>
    <mergeCell ref="G329:G330"/>
    <mergeCell ref="G332:G333"/>
    <mergeCell ref="G274:G275"/>
    <mergeCell ref="G277:G278"/>
    <mergeCell ref="G284:G285"/>
    <mergeCell ref="G287:G288"/>
    <mergeCell ref="G290:G291"/>
    <mergeCell ref="G293:G294"/>
    <mergeCell ref="G296:G297"/>
    <mergeCell ref="G299:G300"/>
    <mergeCell ref="G302:G303"/>
    <mergeCell ref="G91:G92"/>
    <mergeCell ref="G98:G99"/>
    <mergeCell ref="G101:G102"/>
    <mergeCell ref="G104:G105"/>
    <mergeCell ref="G107:G108"/>
    <mergeCell ref="G110:G111"/>
    <mergeCell ref="G113:G114"/>
    <mergeCell ref="G116:G117"/>
    <mergeCell ref="G119:G120"/>
    <mergeCell ref="G61:G62"/>
    <mergeCell ref="G64:G65"/>
    <mergeCell ref="G67:G68"/>
    <mergeCell ref="G70:G71"/>
    <mergeCell ref="G73:G74"/>
    <mergeCell ref="G76:G77"/>
    <mergeCell ref="G79:G80"/>
    <mergeCell ref="G82:G83"/>
    <mergeCell ref="G88:G89"/>
    <mergeCell ref="D332:D334"/>
    <mergeCell ref="E332:E334"/>
    <mergeCell ref="F332:F334"/>
    <mergeCell ref="M274:M277"/>
    <mergeCell ref="D326:D328"/>
    <mergeCell ref="E326:E328"/>
    <mergeCell ref="F326:F328"/>
    <mergeCell ref="D329:D331"/>
    <mergeCell ref="E329:E331"/>
    <mergeCell ref="F329:F331"/>
    <mergeCell ref="D320:D322"/>
    <mergeCell ref="E320:E322"/>
    <mergeCell ref="F320:F322"/>
    <mergeCell ref="D323:D325"/>
    <mergeCell ref="E323:E325"/>
    <mergeCell ref="F323:F325"/>
    <mergeCell ref="D314:D316"/>
    <mergeCell ref="E314:E316"/>
    <mergeCell ref="F314:F316"/>
    <mergeCell ref="D317:D319"/>
    <mergeCell ref="E317:E319"/>
    <mergeCell ref="F317:F319"/>
    <mergeCell ref="D308:D310"/>
    <mergeCell ref="E308:E310"/>
    <mergeCell ref="F308:F310"/>
    <mergeCell ref="D311:D313"/>
    <mergeCell ref="E311:E313"/>
    <mergeCell ref="F311:F313"/>
    <mergeCell ref="G308:G309"/>
    <mergeCell ref="G311:G312"/>
    <mergeCell ref="G314:G315"/>
    <mergeCell ref="G317:G318"/>
    <mergeCell ref="F287:F289"/>
    <mergeCell ref="D302:D304"/>
    <mergeCell ref="E302:E304"/>
    <mergeCell ref="F302:F304"/>
    <mergeCell ref="D305:D307"/>
    <mergeCell ref="E305:E307"/>
    <mergeCell ref="F305:F307"/>
    <mergeCell ref="D296:D298"/>
    <mergeCell ref="E296:E298"/>
    <mergeCell ref="F296:F298"/>
    <mergeCell ref="D299:D301"/>
    <mergeCell ref="E299:E301"/>
    <mergeCell ref="F299:F301"/>
    <mergeCell ref="G305:G306"/>
    <mergeCell ref="G261:G262"/>
    <mergeCell ref="G264:G265"/>
    <mergeCell ref="G267:G268"/>
    <mergeCell ref="G270:G271"/>
    <mergeCell ref="D255:D257"/>
    <mergeCell ref="E255:E257"/>
    <mergeCell ref="F255:F257"/>
    <mergeCell ref="D258:D260"/>
    <mergeCell ref="E258:E260"/>
    <mergeCell ref="F258:F260"/>
    <mergeCell ref="G258:G259"/>
    <mergeCell ref="D267:D269"/>
    <mergeCell ref="E267:E269"/>
    <mergeCell ref="F267:F269"/>
    <mergeCell ref="D270:D272"/>
    <mergeCell ref="E270:E272"/>
    <mergeCell ref="F270:F272"/>
    <mergeCell ref="D261:D263"/>
    <mergeCell ref="E261:E263"/>
    <mergeCell ref="F261:F263"/>
    <mergeCell ref="D264:D266"/>
    <mergeCell ref="E264:E266"/>
    <mergeCell ref="F264:F266"/>
    <mergeCell ref="D249:D251"/>
    <mergeCell ref="E249:E251"/>
    <mergeCell ref="F249:F251"/>
    <mergeCell ref="D252:D254"/>
    <mergeCell ref="E252:E254"/>
    <mergeCell ref="F252:F254"/>
    <mergeCell ref="G249:G250"/>
    <mergeCell ref="G252:G253"/>
    <mergeCell ref="G255:G256"/>
    <mergeCell ref="G237:G238"/>
    <mergeCell ref="G240:G241"/>
    <mergeCell ref="G243:G244"/>
    <mergeCell ref="G246:G247"/>
    <mergeCell ref="D231:D233"/>
    <mergeCell ref="E231:E233"/>
    <mergeCell ref="F231:F233"/>
    <mergeCell ref="D234:D236"/>
    <mergeCell ref="E234:E236"/>
    <mergeCell ref="F234:F236"/>
    <mergeCell ref="G234:G235"/>
    <mergeCell ref="D243:D245"/>
    <mergeCell ref="E243:E245"/>
    <mergeCell ref="F243:F245"/>
    <mergeCell ref="D246:D248"/>
    <mergeCell ref="E246:E248"/>
    <mergeCell ref="F246:F248"/>
    <mergeCell ref="D237:D239"/>
    <mergeCell ref="E237:E239"/>
    <mergeCell ref="F237:F239"/>
    <mergeCell ref="D240:D242"/>
    <mergeCell ref="E240:E242"/>
    <mergeCell ref="F240:F242"/>
    <mergeCell ref="D225:D227"/>
    <mergeCell ref="E225:E227"/>
    <mergeCell ref="F225:F227"/>
    <mergeCell ref="D228:D230"/>
    <mergeCell ref="E228:E230"/>
    <mergeCell ref="F228:F230"/>
    <mergeCell ref="G225:G226"/>
    <mergeCell ref="G228:G229"/>
    <mergeCell ref="G231:G232"/>
    <mergeCell ref="G202:G203"/>
    <mergeCell ref="G208:G209"/>
    <mergeCell ref="G212:G213"/>
    <mergeCell ref="G215:G216"/>
    <mergeCell ref="G222:G223"/>
    <mergeCell ref="D202:D204"/>
    <mergeCell ref="E202:E204"/>
    <mergeCell ref="F202:F204"/>
    <mergeCell ref="D205:D207"/>
    <mergeCell ref="E205:E207"/>
    <mergeCell ref="F205:F207"/>
    <mergeCell ref="G205:G206"/>
    <mergeCell ref="D215:D221"/>
    <mergeCell ref="E215:E221"/>
    <mergeCell ref="F215:F221"/>
    <mergeCell ref="D222:D224"/>
    <mergeCell ref="E222:E224"/>
    <mergeCell ref="F222:F224"/>
    <mergeCell ref="D208:D210"/>
    <mergeCell ref="E208:E210"/>
    <mergeCell ref="F208:F210"/>
    <mergeCell ref="D212:D214"/>
    <mergeCell ref="E212:E214"/>
    <mergeCell ref="F212:F214"/>
    <mergeCell ref="E187:E189"/>
    <mergeCell ref="F187:F189"/>
    <mergeCell ref="D196:D198"/>
    <mergeCell ref="E196:E198"/>
    <mergeCell ref="F196:F198"/>
    <mergeCell ref="D199:D201"/>
    <mergeCell ref="E199:E201"/>
    <mergeCell ref="F199:F201"/>
    <mergeCell ref="G196:G197"/>
    <mergeCell ref="G199:G200"/>
    <mergeCell ref="G172:G173"/>
    <mergeCell ref="G175:G176"/>
    <mergeCell ref="G178:G179"/>
    <mergeCell ref="G184:G185"/>
    <mergeCell ref="G187:G188"/>
    <mergeCell ref="G190:G191"/>
    <mergeCell ref="G193:G194"/>
    <mergeCell ref="D178:D180"/>
    <mergeCell ref="E178:E180"/>
    <mergeCell ref="F178:F180"/>
    <mergeCell ref="D181:D183"/>
    <mergeCell ref="E181:E183"/>
    <mergeCell ref="F181:F183"/>
    <mergeCell ref="G181:G182"/>
    <mergeCell ref="D190:D192"/>
    <mergeCell ref="E190:E192"/>
    <mergeCell ref="F190:F192"/>
    <mergeCell ref="D193:D195"/>
    <mergeCell ref="E193:E195"/>
    <mergeCell ref="F193:F195"/>
    <mergeCell ref="D184:D186"/>
    <mergeCell ref="E184:E186"/>
    <mergeCell ref="F184:F186"/>
    <mergeCell ref="D187:D189"/>
    <mergeCell ref="E160:E162"/>
    <mergeCell ref="F160:F162"/>
    <mergeCell ref="D163:D165"/>
    <mergeCell ref="E163:E165"/>
    <mergeCell ref="F163:F165"/>
    <mergeCell ref="D172:D174"/>
    <mergeCell ref="E172:E174"/>
    <mergeCell ref="F172:F174"/>
    <mergeCell ref="D175:D177"/>
    <mergeCell ref="E175:E177"/>
    <mergeCell ref="F175:F177"/>
    <mergeCell ref="G169:G170"/>
    <mergeCell ref="D153:D159"/>
    <mergeCell ref="E153:E159"/>
    <mergeCell ref="F153:F159"/>
    <mergeCell ref="D143:D145"/>
    <mergeCell ref="E143:E145"/>
    <mergeCell ref="F143:F145"/>
    <mergeCell ref="D146:D148"/>
    <mergeCell ref="E146:E148"/>
    <mergeCell ref="F146:F148"/>
    <mergeCell ref="D150:D152"/>
    <mergeCell ref="E150:E152"/>
    <mergeCell ref="F150:F152"/>
    <mergeCell ref="G143:G144"/>
    <mergeCell ref="G146:G147"/>
    <mergeCell ref="G150:G151"/>
    <mergeCell ref="G153:G154"/>
    <mergeCell ref="D166:D168"/>
    <mergeCell ref="E166:E168"/>
    <mergeCell ref="F166:F168"/>
    <mergeCell ref="D169:D171"/>
    <mergeCell ref="E169:E171"/>
    <mergeCell ref="F169:F171"/>
    <mergeCell ref="D160:D162"/>
    <mergeCell ref="D137:D139"/>
    <mergeCell ref="E137:E139"/>
    <mergeCell ref="F137:F139"/>
    <mergeCell ref="D140:D142"/>
    <mergeCell ref="E140:E142"/>
    <mergeCell ref="F140:F142"/>
    <mergeCell ref="D131:D133"/>
    <mergeCell ref="E131:E133"/>
    <mergeCell ref="F131:F133"/>
    <mergeCell ref="D134:D136"/>
    <mergeCell ref="E134:E136"/>
    <mergeCell ref="F134:F136"/>
    <mergeCell ref="D119:D121"/>
    <mergeCell ref="E119:E121"/>
    <mergeCell ref="F119:F121"/>
    <mergeCell ref="D122:D124"/>
    <mergeCell ref="E122:E124"/>
    <mergeCell ref="F122:F124"/>
    <mergeCell ref="G122:G123"/>
    <mergeCell ref="G125:G126"/>
    <mergeCell ref="G128:G129"/>
    <mergeCell ref="D125:D127"/>
    <mergeCell ref="E125:E127"/>
    <mergeCell ref="F125:F127"/>
    <mergeCell ref="D128:D130"/>
    <mergeCell ref="E128:E130"/>
    <mergeCell ref="F128:F130"/>
    <mergeCell ref="D113:D115"/>
    <mergeCell ref="E113:E115"/>
    <mergeCell ref="F113:F115"/>
    <mergeCell ref="D116:D118"/>
    <mergeCell ref="E116:E118"/>
    <mergeCell ref="F116:F118"/>
    <mergeCell ref="D107:D109"/>
    <mergeCell ref="E107:E109"/>
    <mergeCell ref="F107:F109"/>
    <mergeCell ref="D110:D112"/>
    <mergeCell ref="E110:E112"/>
    <mergeCell ref="F110:F112"/>
    <mergeCell ref="D73:D75"/>
    <mergeCell ref="E73:E75"/>
    <mergeCell ref="F73:F75"/>
    <mergeCell ref="F101:F103"/>
    <mergeCell ref="D104:D106"/>
    <mergeCell ref="E104:E106"/>
    <mergeCell ref="F104:F106"/>
    <mergeCell ref="D82:D84"/>
    <mergeCell ref="E82:E84"/>
    <mergeCell ref="F82:F84"/>
    <mergeCell ref="D88:D90"/>
    <mergeCell ref="E88:E90"/>
    <mergeCell ref="F88:F90"/>
    <mergeCell ref="D101:D103"/>
    <mergeCell ref="E101:E103"/>
    <mergeCell ref="F85:L85"/>
    <mergeCell ref="H86:I86"/>
    <mergeCell ref="F87:L87"/>
    <mergeCell ref="D76:D78"/>
    <mergeCell ref="E76:E78"/>
    <mergeCell ref="D79:D81"/>
    <mergeCell ref="E79:E81"/>
    <mergeCell ref="D98:D100"/>
    <mergeCell ref="E98:E100"/>
    <mergeCell ref="D49:D51"/>
    <mergeCell ref="E49:E51"/>
    <mergeCell ref="F49:F51"/>
    <mergeCell ref="D64:D66"/>
    <mergeCell ref="E64:E66"/>
    <mergeCell ref="F64:F66"/>
    <mergeCell ref="D67:D69"/>
    <mergeCell ref="E67:E69"/>
    <mergeCell ref="F67:F69"/>
    <mergeCell ref="D58:D60"/>
    <mergeCell ref="E58:E60"/>
    <mergeCell ref="F58:F60"/>
    <mergeCell ref="D61:D63"/>
    <mergeCell ref="E61:E63"/>
    <mergeCell ref="F61:F63"/>
    <mergeCell ref="D52:D54"/>
    <mergeCell ref="E52:E54"/>
    <mergeCell ref="D55:D57"/>
    <mergeCell ref="E55:E57"/>
    <mergeCell ref="G49:G50"/>
    <mergeCell ref="G52:G53"/>
    <mergeCell ref="G55:G56"/>
    <mergeCell ref="G58:G59"/>
    <mergeCell ref="M212:M215"/>
    <mergeCell ref="M88:M91"/>
    <mergeCell ref="F149:L149"/>
    <mergeCell ref="M150:M153"/>
    <mergeCell ref="F211:L211"/>
    <mergeCell ref="F52:F54"/>
    <mergeCell ref="F55:F57"/>
    <mergeCell ref="F76:F78"/>
    <mergeCell ref="F79:F81"/>
    <mergeCell ref="F91:F97"/>
    <mergeCell ref="F98:F100"/>
    <mergeCell ref="M24:M84"/>
    <mergeCell ref="G46:G47"/>
    <mergeCell ref="G131:G132"/>
    <mergeCell ref="G134:G135"/>
    <mergeCell ref="G137:G138"/>
    <mergeCell ref="G140:G141"/>
    <mergeCell ref="G160:G161"/>
    <mergeCell ref="G163:G164"/>
    <mergeCell ref="G166:G167"/>
    <mergeCell ref="D70:D72"/>
    <mergeCell ref="E70:E72"/>
    <mergeCell ref="F70:F72"/>
    <mergeCell ref="F336:M336"/>
    <mergeCell ref="F273:L273"/>
    <mergeCell ref="D274:D276"/>
    <mergeCell ref="E274:E276"/>
    <mergeCell ref="F274:F276"/>
    <mergeCell ref="D277:D283"/>
    <mergeCell ref="E277:E283"/>
    <mergeCell ref="F277:F283"/>
    <mergeCell ref="D284:D286"/>
    <mergeCell ref="D290:D292"/>
    <mergeCell ref="E290:E292"/>
    <mergeCell ref="F290:F292"/>
    <mergeCell ref="D293:D295"/>
    <mergeCell ref="E293:E295"/>
    <mergeCell ref="F293:F295"/>
    <mergeCell ref="E284:E286"/>
    <mergeCell ref="F284:F286"/>
    <mergeCell ref="D287:D289"/>
    <mergeCell ref="E287:E289"/>
    <mergeCell ref="D91:D97"/>
    <mergeCell ref="E91:E97"/>
    <mergeCell ref="D46:D48"/>
    <mergeCell ref="E46:E48"/>
    <mergeCell ref="F46:F48"/>
    <mergeCell ref="D27:D33"/>
    <mergeCell ref="E27:E33"/>
    <mergeCell ref="F27:F33"/>
    <mergeCell ref="D34:D36"/>
    <mergeCell ref="E34:E36"/>
    <mergeCell ref="F34:F36"/>
    <mergeCell ref="D37:D39"/>
    <mergeCell ref="E37:E39"/>
    <mergeCell ref="F37:F39"/>
    <mergeCell ref="G27:G28"/>
    <mergeCell ref="G34:G35"/>
    <mergeCell ref="G37:G38"/>
    <mergeCell ref="G40:G41"/>
    <mergeCell ref="G43:G44"/>
    <mergeCell ref="D40:D42"/>
    <mergeCell ref="E40:E42"/>
    <mergeCell ref="F40:F42"/>
    <mergeCell ref="D43:D45"/>
    <mergeCell ref="E43:E45"/>
    <mergeCell ref="F43:F45"/>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29:G30"/>
    <mergeCell ref="G93:G94"/>
    <mergeCell ref="G155:G156"/>
    <mergeCell ref="G217:G218"/>
    <mergeCell ref="G279:G280"/>
    <mergeCell ref="G31:G32"/>
    <mergeCell ref="G95:G96"/>
    <mergeCell ref="G157:G158"/>
    <mergeCell ref="G219:G220"/>
    <mergeCell ref="G281:G282"/>
  </mergeCells>
  <dataValidations count="4">
    <dataValidation type="decimal" allowBlank="1" showErrorMessage="1" errorTitle="Ошибка" error="Допускается ввод только действительных чисел!" sqref="K212 K215 K222 K225 K228 K231 K234 K237 K240 K243 K246 K249 K252 K255 K258 K261 K264 K267 K10 K88 K143 K140 K137 K134 K131 K128 K125 K122 K119 K116 K113 K110 K107 K104 K101 K98 K91 K150 K146 K153 K160 K163 K166 K169 K172 K175 K178 K181 K184 K187 K190 K196 K199 K202 K205 K208 K193 K270 K274 K277 K284 K287 K290 K293 K296 K299 K302 K305 K308 K311 K314 K317 K320 K323 K326 K329 K332 K5 K93 K155 K217 K279 K95 K157 K219 K281">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50:M151 M212:M213 M23 M88:M89 M274:M27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6">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43:J43 I24:J24 I27:J27 I34:J34 I37:J37 I40:J40 I46:J46 I49:J49 I52:J52 I55:J55 I58:J58 I61:J61 I64:J64 I67:J67 I70:J70 I73:J73 I76:J76 I79:J79 I212:J212 I215:J215 I222:J222 I225:J225 I228:J228 I231:J231 I234:J234 I237:J237 I240:J240 I243:J243 I246:J246 I249:J249 I252:J252 I255:J255 I258:J258 I261:J261 I264:J264 I8:J8 I82:J82 I146:J146 I91:J91 I98:J98 I101:J101 I104:J104 I107:J107 I110:J110 I113:J113 I116:J116 I119:J119 I122:J122 I125:J125 I128:J128 I131:J131 I134:J134 I137:J137 I140:J140 I143:J143 I150:J150 I88:J88 I153:J153 I160:J160 I163:J163 I166:J166 I169:J169 I172:J172 I175:J175 I178:J178 I181:J181 I184:J184 I187:J187 I190:J190 I196:J196 I199:J199 I202:J202 I205:J205 I208:J208 I193:J193 I267:J267 I270:J270 I274:J274 I277:J277 I284:J284 I287:J287 I290:J290 I293:J293 I296:J296 I299:J299 I302:J302 I305:J305 I308:J308 I311:J311 I314:J314 I317:J317 I320:J320 I323:J323 I326:J326 I329:J329 I332:J332 I2:J2 I5:J5 I29 J29 I93 J93 I155 J155 I217 J217 I279 J279 I31 J31 I95 J95 I157 J157 I219 J219 I281 J28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DFACFD-60A3-E8A7-84A5-CA2E7774D023}"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2216" width="9.140625" hidden="1" customWidth="1"/>
    <col min="2" max="2" style="1383" width="9.140625" hidden="1" customWidth="1"/>
    <col min="3" max="3" style="332" width="3.7109375" customWidth="1"/>
    <col min="4" max="4" style="1660" width="6.28125" customWidth="1"/>
    <col min="5" max="5" style="1660" width="53.8515625" customWidth="1"/>
    <col min="6" max="7" style="1660" width="35.7109375" customWidth="1"/>
    <col min="8" max="8" style="1660" width="89.57421875" customWidth="1"/>
    <col min="9" max="9" style="1660" width="10.57421875"/>
    <col min="10" max="11" style="1649" width="10.57421875"/>
    <col min="12" max="17" style="1660" width="10.57421875"/>
  </cols>
  <sheetData>
    <row customHeight="1" ht="14.25" hidden="1">
      <c r="N1" s="234"/>
      <c r="O1" s="234"/>
      <c r="Q1" s="234"/>
    </row>
    <row s="1660" customFormat="1" customHeight="1" ht="18.75" hidden="1">
      <c r="A2" s="82"/>
      <c r="B2" s="1155"/>
      <c r="C2" s="1754" t="s">
        <v>169</v>
      </c>
      <c r="D2" s="1698"/>
      <c r="E2" s="1707"/>
      <c r="F2" s="236"/>
      <c r="G2" s="1156"/>
      <c r="H2" s="365"/>
      <c r="I2" s="1649"/>
      <c r="J2" s="1649"/>
    </row>
    <row customHeight="1" ht="14.25" hidden="1"/>
    <row customHeight="1" ht="6">
      <c r="C4" s="368"/>
      <c r="D4" s="353"/>
      <c r="E4" s="353"/>
      <c r="F4" s="353"/>
      <c r="G4" s="66"/>
      <c r="H4" s="66"/>
    </row>
    <row customHeight="1" ht="33">
      <c r="C5" s="368"/>
      <c r="D5" s="2278"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79"/>
      <c r="F5" s="2279"/>
      <c r="G5" s="2280"/>
      <c r="H5" s="245"/>
    </row>
    <row s="1660" customFormat="1" customHeight="1" ht="17.25">
      <c r="A6" s="1694"/>
      <c r="B6" s="1155"/>
      <c r="C6" s="368"/>
      <c r="D6" s="2281" t="str">
        <f>IF(org=0,"Не определено",org)</f>
        <v>ООО "ПРОМ ИМПУЛЬС"</v>
      </c>
      <c r="E6" s="2282"/>
      <c r="F6" s="2282"/>
      <c r="G6" s="2283"/>
      <c r="H6" s="245"/>
      <c r="J6" s="1649"/>
      <c r="K6" s="1649"/>
    </row>
    <row customHeight="1" ht="14.25">
      <c r="C7" s="368"/>
      <c r="D7" s="353"/>
      <c r="E7" s="386"/>
      <c r="F7" s="386"/>
      <c r="G7" s="747"/>
      <c r="H7" s="172"/>
    </row>
    <row customHeight="1" ht="14.25">
      <c r="C8" s="368"/>
      <c r="D8" s="2044" t="s">
        <v>305</v>
      </c>
      <c r="E8" s="2044"/>
      <c r="F8" s="2044"/>
      <c r="G8" s="2044"/>
      <c r="H8" s="2284" t="s">
        <v>306</v>
      </c>
    </row>
    <row customHeight="1" ht="14.25">
      <c r="C9" s="368"/>
      <c r="D9" s="383" t="s">
        <v>87</v>
      </c>
      <c r="E9" s="88" t="s">
        <v>307</v>
      </c>
      <c r="F9" s="88" t="s">
        <v>308</v>
      </c>
      <c r="G9" s="88" t="s">
        <v>397</v>
      </c>
      <c r="H9" s="2284"/>
    </row>
    <row customHeight="1" ht="14.25">
      <c r="A10" s="331"/>
      <c r="C10" s="368"/>
      <c r="D10" s="127" t="s">
        <v>108</v>
      </c>
      <c r="E10" s="191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36"/>
      <c r="G10" s="192"/>
      <c r="H10" s="1997" t="s">
        <v>1068</v>
      </c>
    </row>
    <row customHeight="1" ht="14.25">
      <c r="A11" s="331"/>
      <c r="C11" s="368"/>
      <c r="D11" s="127" t="s">
        <v>109</v>
      </c>
      <c r="E11" s="191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36"/>
      <c r="G11" s="192"/>
      <c r="H11" s="1998"/>
    </row>
    <row customHeight="1" ht="14.25">
      <c r="A12" s="82"/>
      <c r="C12" s="384"/>
      <c r="D12" s="127" t="s">
        <v>89</v>
      </c>
      <c r="E12" s="385" t="str">
        <f>"Сведения о планировании закупочных процедур"&amp;IF(TEMPLATE_SPHERE="TKO"," &lt;1&gt;","")</f>
        <v>Сведения о планировании закупочных процедур</v>
      </c>
      <c r="F12" s="236"/>
      <c r="G12" s="192"/>
      <c r="H12" s="1998"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38"/>
      <c r="K12" s="365"/>
    </row>
    <row customHeight="1" ht="14.25">
      <c r="A13" s="82"/>
      <c r="C13" s="384"/>
      <c r="D13" s="127" t="s">
        <v>90</v>
      </c>
      <c r="E13" s="385" t="str">
        <f>"Сведения о результатах проведения закупочных процедур"&amp;IF(TEMPLATE_SPHERE="TKO"," &lt;1&gt;","")</f>
        <v>Сведения о результатах проведения закупочных процедур</v>
      </c>
      <c r="F13" s="236"/>
      <c r="G13" s="192"/>
      <c r="H13" s="1998"/>
      <c r="I13" s="338"/>
      <c r="K13" s="365"/>
    </row>
    <row customHeight="1" ht="14.25">
      <c r="A14" s="331"/>
      <c r="C14" s="368"/>
      <c r="D14" s="335"/>
      <c r="E14" s="392" t="s">
        <v>1036</v>
      </c>
      <c r="F14" s="337"/>
      <c r="G14" s="180"/>
      <c r="H14" s="1999"/>
    </row>
    <row s="1660" customFormat="1" customHeight="1" ht="14.25">
      <c r="A15" s="331"/>
      <c r="B15" s="1155"/>
      <c r="C15" s="368"/>
      <c r="D15" s="393"/>
      <c r="E15" s="1702"/>
      <c r="F15" s="1703"/>
      <c r="G15" s="1704"/>
      <c r="H15" s="1705"/>
      <c r="J15" s="1649"/>
      <c r="K15" s="1649"/>
    </row>
    <row customHeight="1" ht="14.25">
      <c r="D16" s="1706"/>
      <c r="E16" s="2215"/>
      <c r="F16" s="2215"/>
      <c r="G16" s="2215"/>
      <c r="H16" s="2215"/>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ECBC17-4F21-9CE3-D689-F866BE119C6E}"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1657" width="9.140625" hidden="1" customWidth="1"/>
    <col min="2" max="2" style="1660" width="9.140625" hidden="1" customWidth="1"/>
    <col min="3" max="3" style="678" width="4.7109375" customWidth="1"/>
    <col min="4" max="4" style="1660" width="6.28125" customWidth="1"/>
    <col min="5" max="5" style="1660" width="47.8515625" customWidth="1"/>
    <col min="6" max="6" style="1660" width="9.57421875" customWidth="1"/>
    <col min="7" max="7" style="1660" width="25.7109375" hidden="1" customWidth="1"/>
    <col min="8" max="8" style="1660" width="34.00390625" hidden="1" customWidth="1"/>
    <col min="9" max="9" style="1660" width="25.7109375" customWidth="1"/>
    <col min="10" max="10" style="1660" width="34.00390625" customWidth="1"/>
    <col min="11" max="11" style="1383" width="50.8515625" customWidth="1"/>
    <col min="12" max="20" style="1660" width="10.57421875"/>
    <col min="21" max="21" style="670" width="10.57421875"/>
  </cols>
  <sheetData>
    <row s="1383" customFormat="1" customHeight="1" ht="15" hidden="1">
      <c r="C1" s="667"/>
      <c r="G1" s="414">
        <v>4</v>
      </c>
      <c r="I1" s="414">
        <v>4</v>
      </c>
      <c r="U1" s="417"/>
    </row>
    <row s="1660" customFormat="1" customHeight="1" ht="15" hidden="1">
      <c r="A2" s="352"/>
      <c r="C2" s="156"/>
      <c r="D2" s="334"/>
      <c r="E2" s="668"/>
      <c r="F2" s="518"/>
      <c r="G2" s="612"/>
      <c r="H2" s="612"/>
      <c r="I2" s="612"/>
      <c r="J2" s="612"/>
      <c r="U2" s="669"/>
    </row>
    <row s="1383" customFormat="1" customHeight="1" ht="15" hidden="1">
      <c r="C3" s="667"/>
      <c r="U3" s="417"/>
    </row>
    <row customHeight="1" ht="15">
      <c r="C4" s="156"/>
      <c r="D4" s="505"/>
      <c r="E4" s="505"/>
      <c r="F4" s="505"/>
      <c r="G4" s="505"/>
      <c r="H4" s="505"/>
      <c r="I4" s="505"/>
      <c r="J4" s="505"/>
    </row>
    <row customHeight="1" ht="63">
      <c r="C5" s="156"/>
      <c r="D5" s="2067" t="s">
        <v>1069</v>
      </c>
      <c r="E5" s="2067"/>
      <c r="F5" s="2067"/>
      <c r="G5" s="2067"/>
      <c r="H5" s="2067"/>
      <c r="I5" s="2067"/>
      <c r="J5" s="2067"/>
    </row>
    <row customHeight="1" ht="15">
      <c r="C6" s="156"/>
      <c r="D6" s="2035" t="str">
        <f>IF(org=0,"Не определено",org)</f>
        <v>ООО "ПРОМ ИМПУЛЬС"</v>
      </c>
      <c r="E6" s="2035"/>
      <c r="F6" s="2035"/>
      <c r="G6" s="2035"/>
      <c r="H6" s="2035"/>
      <c r="I6" s="2035"/>
      <c r="J6" s="2035"/>
      <c r="K6" s="533"/>
    </row>
    <row customHeight="1" ht="15">
      <c r="C7" s="156"/>
      <c r="D7" s="747"/>
      <c r="E7" s="505"/>
      <c r="F7" s="505"/>
      <c r="G7" s="533">
        <v>22</v>
      </c>
      <c r="I7" s="533">
        <v>1</v>
      </c>
      <c r="J7" s="747"/>
    </row>
    <row s="1660" customFormat="1" customHeight="1" ht="0.75">
      <c r="A8" s="754"/>
      <c r="C8" s="156"/>
      <c r="D8" s="505"/>
      <c r="E8" s="505"/>
      <c r="F8" s="505"/>
      <c r="G8" s="533"/>
      <c r="H8" s="747"/>
      <c r="I8" s="533" t="s">
        <v>116</v>
      </c>
      <c r="J8" s="747"/>
      <c r="K8" s="414"/>
      <c r="U8" s="670"/>
    </row>
    <row customHeight="1" ht="15">
      <c r="C9" s="156"/>
      <c r="D9" s="706"/>
      <c r="E9" s="2195" t="s">
        <v>104</v>
      </c>
      <c r="F9" s="2196"/>
      <c r="G9" s="2218" t="str">
        <f>IF(G8="","",INDEX(DIFFERENTIATION_UNMERGE_VD,MATCH(G8,DIFFERENTIATION_ID_DIFF,0)))</f>
        <v/>
      </c>
      <c r="H9" s="2219"/>
      <c r="I9" s="2218">
        <f>IF(I8="","",INDEX(DIFFERENTIATION_UNMERGE_VD,MATCH(I8,DIFFERENTIATION_ID_DIFF,0)))</f>
        <v>0</v>
      </c>
      <c r="J9" s="2219"/>
      <c r="K9" s="2010" t="s">
        <v>306</v>
      </c>
    </row>
    <row s="1660" customFormat="1" customHeight="1" ht="15">
      <c r="A10" s="754"/>
      <c r="C10" s="156"/>
      <c r="D10" s="706"/>
      <c r="E10" s="2195" t="s">
        <v>563</v>
      </c>
      <c r="F10" s="2196"/>
      <c r="G10" s="2218" t="str">
        <f>IF(G8="","",INDEX(DIFFERENTIATION_UNMERGE_AREA,MATCH(G8,DIFFERENTIATION_ID_DIFF,0)))</f>
        <v/>
      </c>
      <c r="H10" s="2219"/>
      <c r="I10" s="2218" t="str">
        <f>IF(I8="","",INDEX(DIFFERENTIATION_UNMERGE_AREA,MATCH(I8,DIFFERENTIATION_ID_DIFF,0)))</f>
        <v/>
      </c>
      <c r="J10" s="2219"/>
      <c r="K10" s="2018"/>
      <c r="U10" s="670"/>
    </row>
    <row s="1660" customFormat="1" customHeight="1" ht="15">
      <c r="A11" s="754"/>
      <c r="C11" s="156"/>
      <c r="D11" s="706"/>
      <c r="E11" s="2195" t="s">
        <v>564</v>
      </c>
      <c r="F11" s="2196"/>
      <c r="G11" s="2218" t="str">
        <f>IF(G8="","",INDEX(DIFFERENTIATION_UNMERGE_SYSTEM,MATCH(G8,DIFFERENTIATION_ID_DIFF,0)))</f>
        <v/>
      </c>
      <c r="H11" s="2219"/>
      <c r="I11" s="2218" t="str">
        <f>IF(I8="","",INDEX(DIFFERENTIATION_UNMERGE_SYSTEM,MATCH(I8,DIFFERENTIATION_ID_DIFF,0)))</f>
        <v>без дифференциации</v>
      </c>
      <c r="J11" s="2219"/>
      <c r="K11" s="2018"/>
      <c r="U11" s="670"/>
    </row>
    <row s="1660" customFormat="1" customHeight="1" ht="15">
      <c r="A12" s="754"/>
      <c r="C12" s="156"/>
      <c r="D12" s="2197" t="s">
        <v>305</v>
      </c>
      <c r="E12" s="2198"/>
      <c r="F12" s="2198"/>
      <c r="G12" s="881"/>
      <c r="H12" s="881"/>
      <c r="I12" s="881"/>
      <c r="J12" s="881"/>
      <c r="K12" s="2018"/>
      <c r="U12" s="670"/>
    </row>
    <row customHeight="1" ht="33.75">
      <c r="C13" s="156"/>
      <c r="D13" s="799" t="s">
        <v>87</v>
      </c>
      <c r="E13" s="801" t="s">
        <v>307</v>
      </c>
      <c r="F13" s="801" t="s">
        <v>565</v>
      </c>
      <c r="G13" s="802" t="s">
        <v>308</v>
      </c>
      <c r="H13" s="801" t="s">
        <v>397</v>
      </c>
      <c r="I13" s="802" t="s">
        <v>308</v>
      </c>
      <c r="J13" s="801" t="s">
        <v>397</v>
      </c>
      <c r="K13" s="2072"/>
    </row>
    <row customHeight="1" ht="15" hidden="1">
      <c r="C14" s="156"/>
      <c r="D14" s="589" t="s">
        <v>108</v>
      </c>
      <c r="E14" s="589" t="s">
        <v>109</v>
      </c>
      <c r="F14" s="589" t="s">
        <v>89</v>
      </c>
      <c r="G14" s="654" t="str">
        <f>G1&amp;".1"</f>
        <v>4.1</v>
      </c>
      <c r="H14" s="654"/>
      <c r="I14" s="654" t="str">
        <f>I1&amp;".1"</f>
        <v>4.1</v>
      </c>
      <c r="J14" s="654"/>
      <c r="K14" s="270"/>
    </row>
    <row customHeight="1" ht="22.5" hidden="1">
      <c r="A15" s="501"/>
      <c r="C15" s="522"/>
      <c r="D15" s="517">
        <v>1</v>
      </c>
      <c r="E15" s="672" t="s">
        <v>722</v>
      </c>
      <c r="F15" s="517" t="s">
        <v>723</v>
      </c>
      <c r="G15" s="673"/>
      <c r="H15" s="673"/>
      <c r="I15" s="673"/>
      <c r="J15" s="673"/>
      <c r="K15" s="270" t="s">
        <v>724</v>
      </c>
    </row>
    <row customHeight="1" ht="22.5" hidden="1">
      <c r="A16" s="501"/>
      <c r="C16" s="522"/>
      <c r="D16" s="517">
        <v>2</v>
      </c>
      <c r="E16" s="260" t="s">
        <v>725</v>
      </c>
      <c r="F16" s="517" t="s">
        <v>726</v>
      </c>
      <c r="G16" s="673"/>
      <c r="H16" s="673"/>
      <c r="I16" s="673"/>
      <c r="J16" s="673"/>
      <c r="K16" s="270" t="s">
        <v>727</v>
      </c>
    </row>
    <row customHeight="1" ht="123.75" hidden="1">
      <c r="A17" s="501"/>
      <c r="C17" s="522"/>
      <c r="D17" s="517">
        <v>3</v>
      </c>
      <c r="E17" s="260" t="s">
        <v>1070</v>
      </c>
      <c r="F17" s="517" t="s">
        <v>311</v>
      </c>
      <c r="G17" s="673"/>
      <c r="H17" s="673"/>
      <c r="I17" s="673"/>
      <c r="J17" s="673"/>
      <c r="K17" s="270" t="s">
        <v>1071</v>
      </c>
    </row>
    <row customHeight="1" ht="45">
      <c r="A18" s="501"/>
      <c r="C18" s="522"/>
      <c r="D18" s="517">
        <v>4</v>
      </c>
      <c r="E18" s="260" t="s">
        <v>728</v>
      </c>
      <c r="F18" s="517" t="s">
        <v>311</v>
      </c>
      <c r="G18" s="803" t="s">
        <v>311</v>
      </c>
      <c r="H18" s="804" t="s">
        <v>311</v>
      </c>
      <c r="I18" s="517" t="s">
        <v>311</v>
      </c>
      <c r="J18" s="574" t="s">
        <v>311</v>
      </c>
      <c r="K18" s="270" t="s">
        <v>1072</v>
      </c>
    </row>
    <row customHeight="1" ht="33.75">
      <c r="A19" s="501"/>
      <c r="C19" s="522"/>
      <c r="D19" s="535" t="s">
        <v>666</v>
      </c>
      <c r="E19" s="555" t="s">
        <v>730</v>
      </c>
      <c r="F19" s="517" t="s">
        <v>731</v>
      </c>
      <c r="G19" s="811"/>
      <c r="H19" s="86"/>
      <c r="I19" s="811"/>
      <c r="J19" s="812"/>
      <c r="K19" s="674"/>
    </row>
    <row customHeight="1" ht="33.75">
      <c r="A20" s="501"/>
      <c r="C20" s="522"/>
      <c r="D20" s="535" t="s">
        <v>709</v>
      </c>
      <c r="E20" s="555" t="s">
        <v>732</v>
      </c>
      <c r="F20" s="517" t="s">
        <v>733</v>
      </c>
      <c r="G20" s="811"/>
      <c r="H20" s="86"/>
      <c r="I20" s="811"/>
      <c r="J20" s="86"/>
      <c r="K20" s="674"/>
    </row>
    <row customHeight="1" ht="45">
      <c r="A21" s="501"/>
      <c r="C21" s="522"/>
      <c r="D21" s="535" t="s">
        <v>712</v>
      </c>
      <c r="E21" s="555" t="s">
        <v>734</v>
      </c>
      <c r="F21" s="517" t="s">
        <v>570</v>
      </c>
      <c r="G21" s="675"/>
      <c r="H21" s="86"/>
      <c r="I21" s="675"/>
      <c r="J21" s="86"/>
      <c r="K21" s="674"/>
    </row>
    <row customHeight="1" ht="67.5" hidden="1">
      <c r="A22" s="501"/>
      <c r="C22" s="522"/>
      <c r="D22" s="517">
        <v>5</v>
      </c>
      <c r="E22" s="260" t="s">
        <v>1073</v>
      </c>
      <c r="F22" s="517" t="s">
        <v>557</v>
      </c>
      <c r="G22" s="676"/>
      <c r="H22" s="677"/>
      <c r="I22" s="676"/>
      <c r="J22" s="677"/>
      <c r="K22" s="270" t="s">
        <v>1074</v>
      </c>
    </row>
    <row customHeight="1" ht="33.75" hidden="1">
      <c r="C23" s="447"/>
      <c r="D23" s="517">
        <v>6</v>
      </c>
      <c r="E23" s="260" t="s">
        <v>1075</v>
      </c>
      <c r="F23" s="517" t="s">
        <v>1076</v>
      </c>
      <c r="G23" s="676"/>
      <c r="H23" s="676"/>
      <c r="I23" s="676"/>
      <c r="J23" s="676"/>
      <c r="K23" s="270" t="s">
        <v>1077</v>
      </c>
    </row>
    <row r="29" customHeight="1" ht="15">
      <c r="J29" s="813"/>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69A643-1187-FD47-D36C-0F32FE291712}"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366" width="9.140625" hidden="1"/>
    <col min="2" max="2" style="1848" width="9.140625" hidden="1"/>
    <col min="3" max="3" style="100" width="3.7109375" customWidth="1"/>
    <col min="4" max="4" style="1848" width="7.00390625" customWidth="1"/>
    <col min="5" max="5" style="1848" width="23.140625" customWidth="1"/>
    <col min="6" max="6" style="1848" width="16.00390625" customWidth="1"/>
    <col min="7" max="7" style="1848" width="14.8515625" customWidth="1"/>
    <col min="8" max="8" style="1848" width="47.8515625" customWidth="1"/>
    <col min="9" max="9" style="1848" width="115.7109375" customWidth="1"/>
    <col min="10" max="10" style="1848" width="3.7109375" customWidth="1"/>
    <col min="11" max="12" style="1848" width="9.140625"/>
  </cols>
  <sheetData>
    <row customHeight="1" ht="14.25" hidden="1"/>
    <row customHeight="1" ht="14.25" hidden="1"/>
    <row customHeight="1" ht="14.25" hidden="1"/>
    <row customHeight="1" ht="3"/>
    <row s="1660" customFormat="1" customHeight="1" ht="30">
      <c r="A5" s="95"/>
      <c r="C5" s="69"/>
      <c r="D5" s="1936" t="s">
        <v>1078</v>
      </c>
      <c r="E5" s="1936"/>
      <c r="F5" s="1936"/>
      <c r="G5" s="1936"/>
      <c r="H5" s="1936"/>
      <c r="I5" s="244"/>
    </row>
    <row customHeight="1" ht="3" hidden="1">
      <c r="D6" s="102"/>
      <c r="E6" s="102"/>
      <c r="F6" s="102"/>
      <c r="G6" s="102"/>
      <c r="H6" s="102"/>
      <c r="I6" s="102"/>
    </row>
    <row s="366" customFormat="1" customHeight="1" ht="14.25">
      <c r="B7" s="99"/>
      <c r="C7" s="100"/>
      <c r="D7" s="103"/>
      <c r="E7" s="103"/>
      <c r="F7" s="103"/>
      <c r="G7" s="103"/>
      <c r="H7" s="747"/>
      <c r="I7" s="103"/>
      <c r="J7" s="104"/>
    </row>
    <row customHeight="1" ht="14.25">
      <c r="D8" s="2044" t="s">
        <v>305</v>
      </c>
      <c r="E8" s="2044"/>
      <c r="F8" s="2044"/>
      <c r="G8" s="2044"/>
      <c r="H8" s="2044"/>
      <c r="I8" s="2044" t="s">
        <v>306</v>
      </c>
    </row>
    <row customHeight="1" ht="27.75">
      <c r="D9" s="2044" t="s">
        <v>87</v>
      </c>
      <c r="E9" s="2044" t="s">
        <v>1079</v>
      </c>
      <c r="F9" s="2044"/>
      <c r="G9" s="2044"/>
      <c r="H9" s="2044"/>
      <c r="I9" s="2044"/>
    </row>
    <row customHeight="1" ht="22.5">
      <c r="D10" s="2044"/>
      <c r="E10" s="107" t="s">
        <v>1080</v>
      </c>
      <c r="F10" s="107" t="s">
        <v>1081</v>
      </c>
      <c r="G10" s="107" t="s">
        <v>1082</v>
      </c>
      <c r="H10" s="107" t="s">
        <v>397</v>
      </c>
      <c r="I10" s="2044"/>
    </row>
    <row customHeight="1" ht="12" hidden="1">
      <c r="D11" s="68" t="s">
        <v>108</v>
      </c>
      <c r="E11" s="68" t="s">
        <v>90</v>
      </c>
      <c r="F11" s="68" t="s">
        <v>110</v>
      </c>
      <c r="G11" s="68" t="s">
        <v>91</v>
      </c>
      <c r="H11" s="68" t="s">
        <v>92</v>
      </c>
      <c r="I11" s="68" t="s">
        <v>111</v>
      </c>
    </row>
    <row s="1848" customFormat="1" customHeight="1" ht="24.75">
      <c r="A12" s="125" t="s">
        <v>89</v>
      </c>
      <c r="B12" s="105" t="s">
        <v>24</v>
      </c>
      <c r="C12" s="106"/>
      <c r="D12" s="108" t="s">
        <v>108</v>
      </c>
      <c r="E12" s="378"/>
      <c r="F12" s="378"/>
      <c r="G12" s="1758" t="s">
        <v>24</v>
      </c>
      <c r="H12" s="379"/>
      <c r="I12" s="1997" t="s">
        <v>1083</v>
      </c>
      <c r="K12" s="251"/>
      <c r="L12" s="252"/>
    </row>
    <row customHeight="1" ht="15">
      <c r="A13" s="101"/>
      <c r="B13" s="101"/>
      <c r="C13" s="101"/>
      <c r="D13" s="89"/>
      <c r="E13" s="110" t="s">
        <v>474</v>
      </c>
      <c r="F13" s="109"/>
      <c r="G13" s="109"/>
      <c r="H13" s="193"/>
      <c r="I13" s="1999"/>
    </row>
    <row customHeight="1" ht="3">
      <c r="A14" s="101"/>
      <c r="B14" s="101"/>
      <c r="C14" s="101"/>
    </row>
    <row customHeight="1" ht="27.75">
      <c r="E15" s="2296" t="s">
        <v>1084</v>
      </c>
      <c r="F15" s="2296"/>
      <c r="G15" s="2296"/>
      <c r="H15" s="2296"/>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E6DE7F-44C5-C8DB-E88F-B37937C9D203}"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9" style="243" width="9.140625"/>
  </cols>
  <sheetData>
    <row customHeight="1" ht="14.25" hidden="1"/>
    <row customHeight="1" ht="14.25" hidden="1"/>
    <row customHeight="1" ht="14.25" hidden="1"/>
    <row customHeight="1" ht="14.25" hidden="1"/>
    <row customHeight="1" ht="14.25" hidden="1"/>
    <row customHeight="1" ht="3">
      <c r="C6" s="71"/>
      <c r="D6" s="51"/>
      <c r="E6" s="51"/>
    </row>
    <row customHeight="1" ht="22.5">
      <c r="C7" s="71"/>
      <c r="D7" s="2297" t="s">
        <v>1085</v>
      </c>
      <c r="E7" s="2298"/>
      <c r="F7" s="246"/>
    </row>
    <row customHeight="1" ht="3">
      <c r="C8" s="71"/>
      <c r="D8" s="51"/>
      <c r="E8" s="51"/>
    </row>
    <row customHeight="1" ht="15.75">
      <c r="C9" s="71"/>
      <c r="D9" s="85" t="s">
        <v>87</v>
      </c>
      <c r="E9" s="239" t="s">
        <v>1086</v>
      </c>
    </row>
    <row customHeight="1" ht="0.75">
      <c r="C10" s="71"/>
      <c r="D10" s="68"/>
      <c r="E10" s="68"/>
    </row>
    <row customHeight="1" ht="11.25" hidden="1">
      <c r="C11" s="71"/>
      <c r="D11" s="130">
        <v>0</v>
      </c>
      <c r="E11" s="240"/>
    </row>
    <row customHeight="1" ht="15">
      <c r="C12" s="116"/>
      <c r="D12" s="93">
        <v>1</v>
      </c>
      <c r="E12" s="371"/>
    </row>
    <row customHeight="1" ht="12">
      <c r="C13" s="71"/>
      <c r="D13" s="241"/>
      <c r="E13" s="242" t="s">
        <v>1087</v>
      </c>
    </row>
    <row customHeight="1" ht="3"/>
    <row customHeight="1" ht="22.5">
      <c r="C15" s="117"/>
      <c r="D15" s="2299" t="s">
        <v>1088</v>
      </c>
      <c r="E15" s="2299"/>
      <c r="F15" s="118"/>
      <c r="G15" s="118"/>
      <c r="H15" s="118"/>
      <c r="I15" s="118"/>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53371F-D751-BC5B-D1C9-6C2E9A7FA851}" mc:Ignorable="x14ac xr xr2 xr3">
  <dimension ref="A1:I24"/>
  <sheetViews>
    <sheetView topLeftCell="C4" showGridLines="0" zoomScale="90" workbookViewId="0">
      <selection activeCell="A1" sqref="A1"/>
    </sheetView>
  </sheetViews>
  <sheetFormatPr defaultColWidth="9.140625" customHeight="1" defaultRowHeight="11.25"/>
  <cols>
    <col min="1" max="2" style="497" width="15.00390625" hidden="1" customWidth="1"/>
    <col min="3" max="3" style="451" width="3.7109375" customWidth="1"/>
    <col min="4" max="4" style="452" width="6.8515625" customWidth="1"/>
    <col min="5" max="5" style="451" width="52.28125" customWidth="1"/>
    <col min="6" max="6" style="451" width="48.8515625" customWidth="1"/>
    <col min="7" max="7" style="451" width="93.421875" customWidth="1"/>
    <col min="8" max="8" style="451" width="9.140625"/>
    <col min="9" max="9" style="451" width="65.00390625" customWidth="1"/>
  </cols>
  <sheetData>
    <row customHeight="1" ht="11.25" hidden="1">
      <c r="A1" s="497" t="s">
        <v>304</v>
      </c>
    </row>
    <row customHeight="1" ht="22.5" hidden="1">
      <c r="A2" s="498"/>
      <c r="B2" s="498"/>
      <c r="C2" s="453"/>
      <c r="D2" s="1537"/>
      <c r="E2" s="1543"/>
      <c r="F2" s="1573"/>
      <c r="H2" s="471"/>
    </row>
    <row customHeight="1" ht="11.25" hidden="1"/>
    <row customHeight="1" ht="11.25">
      <c r="A4" s="1574"/>
      <c r="B4" s="1574"/>
    </row>
    <row customHeight="1" ht="24">
      <c r="D5" s="2073"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074"/>
      <c r="F5" s="2075"/>
      <c r="I5" s="710"/>
    </row>
    <row customHeight="1" ht="17.25">
      <c r="D6" s="2035" t="str">
        <f>IF(region_name=0,"Не определено",region_name)</f>
        <v>г.Санкт-Петербург</v>
      </c>
      <c r="E6" s="2035"/>
      <c r="F6" s="2035"/>
      <c r="I6" s="710"/>
    </row>
    <row s="473" customFormat="1" customHeight="1" ht="11.25">
      <c r="A7" s="497"/>
      <c r="B7" s="497"/>
      <c r="D7" s="709"/>
      <c r="E7" s="709"/>
      <c r="F7" s="747"/>
      <c r="G7" s="709"/>
    </row>
    <row customHeight="1" ht="11.25" hidden="1">
      <c r="A8" s="498"/>
      <c r="B8" s="498"/>
      <c r="C8" s="453"/>
      <c r="D8" s="459"/>
      <c r="E8" s="2042"/>
      <c r="F8" s="2042"/>
    </row>
    <row customHeight="1" ht="11.25">
      <c r="A9" s="498"/>
      <c r="B9" s="498"/>
      <c r="C9" s="453"/>
      <c r="D9" s="2038" t="s">
        <v>305</v>
      </c>
      <c r="E9" s="2039"/>
      <c r="F9" s="2039"/>
      <c r="G9" s="2043" t="s">
        <v>306</v>
      </c>
    </row>
    <row customHeight="1" ht="11.25">
      <c r="A10" s="498"/>
      <c r="B10" s="498"/>
      <c r="C10" s="453"/>
      <c r="D10" s="1491" t="s">
        <v>87</v>
      </c>
      <c r="E10" s="1493" t="s">
        <v>307</v>
      </c>
      <c r="F10" s="1493" t="s">
        <v>308</v>
      </c>
      <c r="G10" s="2044"/>
    </row>
    <row customHeight="1" ht="0.75">
      <c r="A11" s="498"/>
      <c r="B11" s="498"/>
      <c r="C11" s="453"/>
      <c r="D11" s="460"/>
      <c r="E11" s="460"/>
      <c r="F11" s="460"/>
      <c r="G11" s="460"/>
    </row>
    <row customHeight="1" ht="22.5">
      <c r="A12" s="498"/>
      <c r="B12" s="498"/>
      <c r="C12" s="453"/>
      <c r="D12" s="1537">
        <v>1</v>
      </c>
      <c r="E12" s="470" t="s">
        <v>1089</v>
      </c>
      <c r="F12" s="1884" t="str">
        <f>IF(org="","",org)</f>
        <v>ООО "ПРОМ ИМПУЛЬС"</v>
      </c>
      <c r="G12" s="470" t="s">
        <v>1090</v>
      </c>
      <c r="H12" s="1550"/>
    </row>
    <row customHeight="1" ht="18.75">
      <c r="A13" s="498"/>
      <c r="B13" s="498"/>
      <c r="C13" s="453"/>
      <c r="D13" s="1537">
        <v>2</v>
      </c>
      <c r="E13" s="1544" t="s">
        <v>1091</v>
      </c>
      <c r="F13" s="1538" t="s">
        <v>311</v>
      </c>
      <c r="G13" s="470"/>
      <c r="H13" s="1550"/>
    </row>
    <row customHeight="1" ht="18.75">
      <c r="A14" s="498"/>
      <c r="B14" s="498"/>
      <c r="C14" s="453"/>
      <c r="D14" s="1540" t="s">
        <v>621</v>
      </c>
      <c r="E14" s="1541" t="s">
        <v>1092</v>
      </c>
      <c r="F14" s="1543"/>
      <c r="G14" s="1542" t="s">
        <v>1093</v>
      </c>
      <c r="H14" s="1550"/>
    </row>
    <row customHeight="1" ht="18.75">
      <c r="A15" s="498"/>
      <c r="B15" s="498"/>
      <c r="C15" s="453"/>
      <c r="D15" s="1540" t="s">
        <v>312</v>
      </c>
      <c r="E15" s="1541" t="s">
        <v>1094</v>
      </c>
      <c r="F15" s="1543"/>
      <c r="G15" s="1542" t="s">
        <v>1095</v>
      </c>
      <c r="H15" s="1550"/>
    </row>
    <row customHeight="1" ht="36.75">
      <c r="A16" s="498"/>
      <c r="B16" s="498"/>
      <c r="C16" s="453"/>
      <c r="D16" s="1540" t="s">
        <v>315</v>
      </c>
      <c r="E16" s="1539" t="s">
        <v>1096</v>
      </c>
      <c r="F16" s="1548"/>
      <c r="G16" s="470" t="s">
        <v>1097</v>
      </c>
      <c r="H16" s="1550"/>
    </row>
    <row customHeight="1" ht="45">
      <c r="A17" s="498"/>
      <c r="B17" s="498"/>
      <c r="C17" s="453"/>
      <c r="D17" s="1537">
        <v>3</v>
      </c>
      <c r="E17" s="1544" t="s">
        <v>1098</v>
      </c>
      <c r="F17" s="1543"/>
      <c r="G17" s="470" t="s">
        <v>1099</v>
      </c>
      <c r="H17" s="1550"/>
    </row>
    <row customHeight="1" ht="45">
      <c r="A18" s="1492">
        <v>1</v>
      </c>
      <c r="B18" s="498"/>
      <c r="C18" s="1494"/>
      <c r="D18" s="1537" t="s">
        <v>90</v>
      </c>
      <c r="E18" s="1544" t="s">
        <v>1100</v>
      </c>
      <c r="F18" s="1543"/>
      <c r="G18" s="470" t="s">
        <v>1099</v>
      </c>
      <c r="H18" s="1550"/>
      <c r="I18" s="846"/>
    </row>
    <row customHeight="1" ht="22.5">
      <c r="A19" s="498"/>
      <c r="B19" s="498"/>
      <c r="C19" s="453"/>
      <c r="D19" s="1537" t="s">
        <v>110</v>
      </c>
      <c r="E19" s="1544" t="s">
        <v>1101</v>
      </c>
      <c r="F19" s="1538" t="s">
        <v>311</v>
      </c>
      <c r="G19" s="2300" t="s">
        <v>1102</v>
      </c>
      <c r="H19" s="471"/>
    </row>
    <row s="1547" customFormat="1" customHeight="1" ht="5.25" hidden="1">
      <c r="A20" s="498"/>
      <c r="B20" s="498"/>
      <c r="C20" s="1546"/>
      <c r="D20" s="1545" t="s">
        <v>1029</v>
      </c>
      <c r="E20" s="1009"/>
      <c r="F20" s="1008"/>
      <c r="G20" s="2301"/>
    </row>
    <row customHeight="1" ht="15">
      <c r="A21" s="498"/>
      <c r="B21" s="498"/>
      <c r="C21" s="453"/>
      <c r="D21" s="463"/>
      <c r="E21" s="412" t="s">
        <v>346</v>
      </c>
      <c r="F21" s="465"/>
      <c r="G21" s="2302"/>
      <c r="H21" s="1550"/>
    </row>
    <row s="497" customFormat="1" customHeight="1" ht="24.75">
      <c r="A22" s="498"/>
      <c r="B22" s="498"/>
      <c r="C22" s="498"/>
      <c r="D22" s="1537" t="s">
        <v>91</v>
      </c>
      <c r="E22" s="470" t="s">
        <v>1103</v>
      </c>
      <c r="F22" s="1543"/>
      <c r="G22" s="470" t="s">
        <v>1104</v>
      </c>
      <c r="H22" s="1549"/>
    </row>
    <row s="497" customFormat="1" customHeight="1" ht="18.75">
      <c r="A23" s="498"/>
      <c r="B23" s="498"/>
      <c r="C23" s="498"/>
      <c r="D23" s="1537" t="s">
        <v>92</v>
      </c>
      <c r="E23" s="1544" t="s">
        <v>1105</v>
      </c>
      <c r="F23" s="1548"/>
      <c r="G23" s="470" t="s">
        <v>1106</v>
      </c>
      <c r="H23" s="1549"/>
    </row>
    <row customHeight="1" ht="11.25">
      <c r="A24" s="498"/>
      <c r="B24" s="498"/>
      <c r="C24" s="45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6DE0F1-9AA2-5EDD-38CD-E5F348F5C37C}" mc:Ignorable="x14ac xr xr2 xr3">
  <dimension ref="A1:IT23"/>
  <sheetViews>
    <sheetView topLeftCell="D4" showGridLines="0" zoomScale="90" workbookViewId="0">
      <selection activeCell="A1" sqref="A1"/>
    </sheetView>
  </sheetViews>
  <sheetFormatPr defaultColWidth="9.140625" customHeight="1" defaultRowHeight="14.25"/>
  <cols>
    <col min="1" max="1" style="1660" width="9.140625" hidden="1"/>
    <col min="2" max="2" style="1383" width="9.140625" hidden="1"/>
    <col min="3" max="3" style="1660" width="3.7109375" hidden="1" customWidth="1"/>
    <col min="4" max="4" style="1866" width="3.8515625" customWidth="1"/>
    <col min="5" max="5" style="1660" width="6.28125" customWidth="1"/>
    <col min="6" max="6" style="1660" width="46.7109375" customWidth="1"/>
    <col min="7" max="8" style="1660" width="16.7109375" customWidth="1"/>
    <col min="9" max="9" style="1660" width="35.28125" customWidth="1"/>
    <col min="10" max="10" style="1660" width="89.57421875" customWidth="1"/>
    <col min="11" max="11" style="1649" width="3.7109375" customWidth="1"/>
    <col min="12" max="14" style="1649" width="9.140625"/>
    <col min="15" max="15" style="1649" width="25.7109375" customWidth="1"/>
    <col min="16" max="16" style="1649" width="14.421875" customWidth="1"/>
    <col min="17" max="20" style="204" width="9.140625"/>
    <col min="21" max="254" style="1660" width="9.140625"/>
  </cols>
  <sheetData>
    <row customHeight="1" ht="14.25" hidden="1"/>
    <row s="2437" customFormat="1" customHeight="1" ht="22.5" hidden="1">
      <c r="A2" s="825"/>
      <c r="B2" s="1155">
        <v>1</v>
      </c>
      <c r="C2" s="1155"/>
      <c r="D2" s="795"/>
      <c r="E2" s="1501"/>
      <c r="F2" s="1508"/>
      <c r="G2" s="1508"/>
      <c r="H2" s="1508"/>
      <c r="I2" s="1555"/>
      <c r="J2" s="207"/>
      <c r="K2" s="1552">
        <f>MERGEVALUE(F2)</f>
      </c>
      <c r="L2" s="507"/>
      <c r="M2" s="507"/>
      <c r="N2" s="496" t="str">
        <f t="array" ref="N2:N2">IF(ISERROR(MATCH(MID(O2,1,250),MID(note_ter,1,250),0)),"n","y")</f>
        <v>n</v>
      </c>
      <c r="O2" s="507"/>
      <c r="P2" s="496" t="str">
        <f>G2&amp;"("&amp;J2&amp;")"</f>
        <v>()</v>
      </c>
      <c r="Q2" s="1155"/>
      <c r="R2" s="1155"/>
      <c r="S2" s="417"/>
      <c r="T2" s="1155"/>
      <c r="U2" s="1155"/>
      <c r="V2" s="1155"/>
      <c r="W2" s="419"/>
      <c r="X2" s="419"/>
      <c r="Y2" s="416"/>
      <c r="Z2" s="416"/>
      <c r="AA2" s="416"/>
      <c r="AB2" s="416"/>
      <c r="AC2" s="416"/>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9"/>
      <c r="BU2" s="419"/>
      <c r="BV2" s="419"/>
      <c r="BW2" s="419"/>
      <c r="BX2" s="419"/>
      <c r="BY2" s="419"/>
      <c r="BZ2" s="419"/>
      <c r="CA2" s="419"/>
      <c r="CB2" s="419"/>
      <c r="CC2" s="419"/>
    </row>
    <row s="1667" customFormat="1" customHeight="1" ht="5.25" hidden="1">
      <c r="A3" s="492"/>
      <c r="D3" s="490"/>
      <c r="F3" s="226" t="s">
        <v>82</v>
      </c>
      <c r="G3" s="490" t="s">
        <v>83</v>
      </c>
      <c r="H3" s="490"/>
      <c r="I3" s="490"/>
      <c r="J3" s="206" t="s">
        <v>84</v>
      </c>
      <c r="K3" s="226" t="s">
        <v>82</v>
      </c>
      <c r="L3" s="226"/>
      <c r="M3" s="226"/>
      <c r="N3" s="226"/>
      <c r="O3" s="227"/>
      <c r="P3" s="226"/>
      <c r="Q3" s="226"/>
      <c r="R3" s="226"/>
      <c r="S3" s="226"/>
      <c r="T3" s="22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row>
    <row s="1844" customFormat="1" customHeight="1" ht="14.25">
      <c r="A4" s="1150"/>
      <c r="B4" s="1155"/>
      <c r="C4" s="1150"/>
      <c r="D4" s="1512"/>
      <c r="E4" s="505"/>
      <c r="F4" s="505"/>
      <c r="G4" s="505"/>
      <c r="H4" s="505"/>
      <c r="I4" s="505"/>
      <c r="J4" s="146"/>
      <c r="K4" s="226"/>
      <c r="L4" s="496"/>
      <c r="M4" s="496"/>
      <c r="N4" s="496"/>
      <c r="O4" s="205"/>
      <c r="P4" s="496"/>
      <c r="Q4" s="204"/>
      <c r="R4" s="204"/>
      <c r="S4" s="204"/>
      <c r="T4" s="204"/>
    </row>
    <row s="1844" customFormat="1" customHeight="1" ht="25.5">
      <c r="A5" s="1150"/>
      <c r="B5" s="1155"/>
      <c r="C5" s="1150"/>
      <c r="D5" s="1512"/>
      <c r="E5" s="1936"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36"/>
      <c r="G5" s="1936"/>
      <c r="H5" s="1936"/>
      <c r="I5" s="1936"/>
      <c r="J5" s="1936"/>
      <c r="K5" s="226"/>
      <c r="L5" s="496"/>
      <c r="M5" s="496"/>
      <c r="N5" s="496"/>
      <c r="O5" s="205"/>
      <c r="P5" s="496"/>
      <c r="Q5" s="204"/>
      <c r="R5" s="204"/>
      <c r="S5" s="204"/>
      <c r="T5" s="204"/>
    </row>
    <row s="1844" customFormat="1" customHeight="1" ht="14.25">
      <c r="A6" s="1150"/>
      <c r="B6" s="1155"/>
      <c r="C6" s="1150"/>
      <c r="D6" s="1512"/>
      <c r="E6" s="505"/>
      <c r="F6" s="147"/>
      <c r="G6" s="147"/>
      <c r="H6" s="147"/>
      <c r="I6" s="147"/>
      <c r="J6" s="148"/>
      <c r="K6" s="496"/>
      <c r="L6" s="496"/>
      <c r="M6" s="496"/>
      <c r="N6" s="496"/>
      <c r="O6" s="205"/>
      <c r="P6" s="496"/>
      <c r="Q6" s="204"/>
      <c r="R6" s="204"/>
      <c r="S6" s="204"/>
      <c r="T6" s="204"/>
    </row>
    <row s="1844" customFormat="1" customHeight="1" ht="14.25">
      <c r="A7" s="1150"/>
      <c r="B7" s="1155"/>
      <c r="C7" s="1150"/>
      <c r="D7" s="1512"/>
      <c r="E7" s="1937" t="s">
        <v>305</v>
      </c>
      <c r="F7" s="1938"/>
      <c r="G7" s="1938"/>
      <c r="H7" s="1938"/>
      <c r="I7" s="1938"/>
      <c r="J7" s="2303" t="s">
        <v>306</v>
      </c>
      <c r="K7" s="496"/>
      <c r="L7" s="496"/>
      <c r="M7" s="496"/>
      <c r="N7" s="496"/>
      <c r="O7" s="205"/>
      <c r="P7" s="496"/>
      <c r="Q7" s="204"/>
      <c r="R7" s="204"/>
      <c r="S7" s="204"/>
      <c r="T7" s="204"/>
    </row>
    <row s="1844" customFormat="1" customHeight="1" ht="20.25">
      <c r="A8" s="1150"/>
      <c r="B8" s="1155"/>
      <c r="C8" s="1150"/>
      <c r="D8" s="1512"/>
      <c r="E8" s="1572" t="s">
        <v>87</v>
      </c>
      <c r="F8" s="1557" t="s">
        <v>1107</v>
      </c>
      <c r="G8" s="1557" t="s">
        <v>47</v>
      </c>
      <c r="H8" s="1557" t="s">
        <v>49</v>
      </c>
      <c r="I8" s="1557" t="s">
        <v>1108</v>
      </c>
      <c r="J8" s="2304"/>
      <c r="K8" s="496"/>
      <c r="L8" s="496"/>
      <c r="M8" s="496"/>
      <c r="N8" s="496"/>
      <c r="O8" s="205"/>
      <c r="P8" s="496"/>
      <c r="Q8" s="204"/>
      <c r="R8" s="204"/>
      <c r="S8" s="204"/>
      <c r="T8" s="204"/>
    </row>
    <row s="2437" customFormat="1" customHeight="1" ht="22.5">
      <c r="A9" s="1935"/>
      <c r="B9" s="1155">
        <v>1</v>
      </c>
      <c r="C9" s="1155"/>
      <c r="D9" s="795"/>
      <c r="E9" s="1501">
        <v>1</v>
      </c>
      <c r="F9" s="1571"/>
      <c r="G9" s="1508"/>
      <c r="H9" s="1508"/>
      <c r="I9" s="1555"/>
      <c r="J9" s="2305" t="s">
        <v>1109</v>
      </c>
      <c r="K9" s="1552">
        <f>MERGEVALUE(F9)</f>
      </c>
      <c r="L9" s="507"/>
      <c r="M9" s="507"/>
      <c r="N9" s="496" t="str">
        <f t="array" ref="N9:N9">IF(ISERROR(MATCH(MID(O9,1,250),MID(note_ter,1,250),0)),"n","y")</f>
        <v>n</v>
      </c>
      <c r="O9" s="507"/>
      <c r="P9" s="49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55"/>
      <c r="R9" s="1155"/>
      <c r="S9" s="417"/>
      <c r="T9" s="1155"/>
      <c r="U9" s="1155"/>
      <c r="V9" s="1155"/>
      <c r="W9" s="419"/>
      <c r="X9" s="419"/>
      <c r="Y9" s="416"/>
      <c r="Z9" s="416"/>
      <c r="AA9" s="416"/>
      <c r="AB9" s="416"/>
      <c r="AC9" s="416"/>
      <c r="AD9" s="416"/>
      <c r="AE9" s="416"/>
      <c r="AF9" s="416"/>
      <c r="AG9" s="416"/>
      <c r="AH9" s="416"/>
      <c r="AI9" s="416"/>
      <c r="AJ9" s="416"/>
      <c r="AK9" s="416"/>
      <c r="AL9" s="416"/>
      <c r="AM9" s="416"/>
      <c r="AN9" s="416"/>
      <c r="AO9" s="416"/>
      <c r="AP9" s="416"/>
      <c r="AQ9" s="416"/>
      <c r="AR9" s="416"/>
      <c r="AS9" s="416"/>
      <c r="AT9" s="416"/>
      <c r="AU9" s="416"/>
      <c r="AV9" s="416"/>
      <c r="AW9" s="416"/>
      <c r="AX9" s="416"/>
      <c r="AY9" s="416"/>
      <c r="AZ9" s="416"/>
      <c r="BA9" s="416"/>
      <c r="BB9" s="416"/>
      <c r="BC9" s="416"/>
      <c r="BD9" s="416"/>
      <c r="BE9" s="416"/>
      <c r="BF9" s="416"/>
      <c r="BG9" s="416"/>
      <c r="BH9" s="416"/>
      <c r="BI9" s="416"/>
      <c r="BJ9" s="416"/>
      <c r="BK9" s="416"/>
      <c r="BL9" s="416"/>
      <c r="BM9" s="416"/>
      <c r="BN9" s="416"/>
      <c r="BO9" s="416"/>
      <c r="BP9" s="416"/>
      <c r="BQ9" s="416"/>
      <c r="BR9" s="416"/>
      <c r="BS9" s="416"/>
      <c r="BT9" s="419"/>
      <c r="BU9" s="419"/>
      <c r="BV9" s="419"/>
      <c r="BW9" s="419"/>
      <c r="BX9" s="419"/>
      <c r="BY9" s="419"/>
      <c r="BZ9" s="419"/>
      <c r="CA9" s="419"/>
      <c r="CB9" s="419"/>
      <c r="CC9" s="419"/>
    </row>
    <row s="2437" customFormat="1" customHeight="1" ht="15">
      <c r="A10" s="1935"/>
      <c r="B10" s="1155"/>
      <c r="C10" s="409"/>
      <c r="D10" s="795"/>
      <c r="E10" s="1558"/>
      <c r="F10" s="1517" t="s">
        <v>1110</v>
      </c>
      <c r="G10" s="1559"/>
      <c r="H10" s="1559"/>
      <c r="I10" s="1559"/>
      <c r="J10" s="2306"/>
      <c r="K10" s="1553"/>
      <c r="L10" s="507"/>
      <c r="M10" s="507"/>
      <c r="N10" s="507"/>
      <c r="O10" s="496"/>
      <c r="P10" s="507"/>
      <c r="Q10" s="1155"/>
      <c r="R10" s="1155"/>
      <c r="S10" s="417"/>
      <c r="T10" s="1155"/>
      <c r="U10" s="1155"/>
      <c r="V10" s="1155"/>
      <c r="W10" s="419"/>
      <c r="X10" s="419"/>
      <c r="Y10" s="416"/>
      <c r="Z10" s="416"/>
      <c r="AA10" s="416"/>
      <c r="AB10" s="416"/>
      <c r="AC10" s="416"/>
      <c r="AD10" s="416"/>
      <c r="AE10" s="416"/>
      <c r="AF10" s="416"/>
      <c r="AG10" s="416"/>
      <c r="AH10" s="416"/>
      <c r="AI10" s="416"/>
      <c r="AJ10" s="416"/>
      <c r="AK10" s="416"/>
      <c r="AL10" s="416"/>
      <c r="AM10" s="416"/>
      <c r="AN10" s="416"/>
      <c r="AO10" s="416"/>
      <c r="AP10" s="416"/>
      <c r="AQ10" s="416"/>
      <c r="AR10" s="416"/>
      <c r="AS10" s="416"/>
      <c r="AT10" s="416"/>
      <c r="AU10" s="416"/>
      <c r="AV10" s="416"/>
      <c r="AW10" s="416"/>
      <c r="AX10" s="416"/>
      <c r="AY10" s="416"/>
      <c r="AZ10" s="416"/>
      <c r="BA10" s="416"/>
      <c r="BB10" s="416"/>
      <c r="BC10" s="416"/>
      <c r="BD10" s="416"/>
      <c r="BE10" s="416"/>
      <c r="BF10" s="416"/>
      <c r="BG10" s="416"/>
      <c r="BH10" s="416"/>
      <c r="BI10" s="416"/>
      <c r="BJ10" s="416"/>
      <c r="BK10" s="416"/>
      <c r="BL10" s="416"/>
      <c r="BM10" s="416"/>
      <c r="BN10" s="416"/>
      <c r="BO10" s="416"/>
      <c r="BP10" s="416"/>
      <c r="BQ10" s="416"/>
      <c r="BR10" s="416"/>
      <c r="BS10" s="416"/>
      <c r="BT10" s="419"/>
      <c r="BU10" s="419"/>
      <c r="BV10" s="419"/>
      <c r="BW10" s="419"/>
      <c r="BX10" s="419"/>
      <c r="BY10" s="419"/>
      <c r="BZ10" s="419"/>
      <c r="CA10" s="419"/>
      <c r="CB10" s="419"/>
      <c r="CC10" s="419"/>
    </row>
    <row s="1844" customFormat="1" customHeight="1" ht="21">
      <c r="A11" s="1150"/>
      <c r="B11" s="1155"/>
      <c r="C11" s="1150"/>
      <c r="D11" s="447"/>
      <c r="E11" s="160"/>
      <c r="F11" s="160"/>
      <c r="G11" s="160"/>
      <c r="H11" s="160"/>
      <c r="I11" s="160"/>
      <c r="J11" s="160"/>
      <c r="K11" s="496"/>
      <c r="L11" s="496"/>
      <c r="M11" s="496"/>
      <c r="N11" s="496"/>
      <c r="O11" s="205"/>
      <c r="P11" s="496"/>
      <c r="Q11" s="204"/>
      <c r="R11" s="204"/>
      <c r="S11" s="204"/>
      <c r="T11" s="204"/>
    </row>
    <row s="1844" customFormat="1" customHeight="1" ht="14.25">
      <c r="A12" s="1150"/>
      <c r="B12" s="1155"/>
      <c r="C12" s="1150"/>
      <c r="D12" s="447"/>
      <c r="E12" s="1150"/>
      <c r="F12" s="1150"/>
      <c r="G12" s="1150"/>
      <c r="H12" s="1150"/>
      <c r="I12" s="1150"/>
      <c r="J12" s="1150"/>
      <c r="K12" s="496"/>
      <c r="L12" s="496"/>
      <c r="M12" s="496"/>
      <c r="N12" s="496"/>
      <c r="O12" s="205"/>
      <c r="P12" s="496"/>
      <c r="Q12" s="204"/>
      <c r="R12" s="204"/>
      <c r="S12" s="204"/>
      <c r="T12" s="204"/>
    </row>
    <row s="1844" customFormat="1" customHeight="1" ht="0.75">
      <c r="A13" s="1150"/>
      <c r="B13" s="1155"/>
      <c r="C13" s="1150"/>
      <c r="D13" s="447"/>
      <c r="E13" s="1150"/>
      <c r="F13" s="1150"/>
      <c r="G13" s="1150"/>
      <c r="H13" s="1150"/>
      <c r="I13" s="1150"/>
      <c r="J13" s="1150"/>
      <c r="K13" s="496"/>
      <c r="L13" s="496"/>
      <c r="M13" s="496"/>
      <c r="N13" s="496"/>
      <c r="O13" s="205"/>
      <c r="P13" s="496"/>
      <c r="Q13" s="204"/>
      <c r="R13" s="204"/>
      <c r="S13" s="204"/>
      <c r="T13" s="204"/>
    </row>
    <row s="1059" customFormat="1" customHeight="1" ht="10.5">
      <c r="B14" s="828"/>
      <c r="D14" s="162"/>
      <c r="K14" s="496"/>
      <c r="L14" s="496"/>
      <c r="M14" s="496"/>
      <c r="N14" s="496"/>
      <c r="O14" s="205"/>
      <c r="P14" s="496"/>
      <c r="Q14" s="204"/>
      <c r="R14" s="204"/>
      <c r="S14" s="204"/>
      <c r="T14" s="204"/>
    </row>
    <row s="1059" customFormat="1" customHeight="1" ht="10.5">
      <c r="B15" s="828"/>
      <c r="D15" s="162"/>
      <c r="K15" s="496"/>
      <c r="L15" s="496"/>
      <c r="M15" s="496"/>
      <c r="N15" s="496"/>
      <c r="O15" s="205"/>
      <c r="P15" s="496"/>
      <c r="Q15" s="204"/>
      <c r="R15" s="204"/>
      <c r="S15" s="204"/>
      <c r="T15" s="204"/>
    </row>
    <row r="19" customHeight="1" ht="14.25">
      <c r="G19" s="0"/>
      <c r="H19" s="0"/>
      <c r="I19" s="0"/>
    </row>
    <row r="23" customHeight="1" ht="14.25">
      <c r="K23" s="1150"/>
      <c r="L23" s="1150"/>
      <c r="M23" s="1150"/>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92B671-130D-8396-2733-0E8066012E9A}" mc:Ignorable="x14ac xr xr2 xr3">
  <dimension ref="A1:IV14"/>
  <sheetViews>
    <sheetView topLeftCell="D4" showGridLines="0" zoomScale="90" workbookViewId="0">
      <selection activeCell="A1" sqref="A1"/>
    </sheetView>
  </sheetViews>
  <sheetFormatPr defaultColWidth="9.140625" customHeight="1" defaultRowHeight="14.25"/>
  <cols>
    <col min="1" max="1" style="1660" width="9.140625" hidden="1"/>
    <col min="2" max="2" style="1383" width="9.140625" hidden="1"/>
    <col min="3" max="3" style="1660" width="3.7109375" hidden="1" customWidth="1"/>
    <col min="4" max="4" style="1866" width="3.8515625" customWidth="1"/>
    <col min="5" max="5" style="1660" width="6.28125" customWidth="1"/>
    <col min="6" max="6" style="1660" width="27.28125" customWidth="1"/>
    <col min="7" max="7" style="1660" width="16.7109375" customWidth="1"/>
    <col min="8" max="8" style="1660" width="12.7109375" customWidth="1"/>
    <col min="9" max="9" style="1660" width="32.140625" customWidth="1"/>
    <col min="10" max="11" style="1660" width="41.8515625" customWidth="1"/>
    <col min="12" max="12" style="1660" width="89.57421875" customWidth="1"/>
    <col min="13" max="13" style="1649" width="3.7109375" customWidth="1"/>
    <col min="14" max="16" style="1649" width="9.140625"/>
    <col min="17" max="17" style="1649" width="25.7109375" customWidth="1"/>
    <col min="18" max="18" style="1649" width="14.421875" customWidth="1"/>
    <col min="19" max="22" style="204" width="9.140625"/>
    <col min="23" max="256" style="1660" width="9.140625"/>
  </cols>
  <sheetData>
    <row customHeight="1" ht="14.25" hidden="1"/>
    <row s="2437" customFormat="1" customHeight="1" ht="22.5" hidden="1">
      <c r="A2" s="825"/>
      <c r="B2" s="1155">
        <v>1</v>
      </c>
      <c r="C2" s="1155"/>
      <c r="D2" s="795"/>
      <c r="E2" s="1501"/>
      <c r="F2" s="1556" t="str">
        <f>IF(ROIV_INFO_NAME="","",ROIV_INFO_NAME)</f>
        <v>ООО "ПРОМ ИМПУЛЬС"</v>
      </c>
      <c r="G2" s="1756" t="s">
        <v>24</v>
      </c>
      <c r="H2" s="1555"/>
      <c r="I2" s="1555"/>
      <c r="J2" s="1159"/>
      <c r="K2" s="1159"/>
      <c r="L2" s="207"/>
      <c r="M2" s="1552">
        <f>MERGEVALUE(F2)</f>
      </c>
      <c r="N2" s="507"/>
      <c r="O2" s="507"/>
      <c r="P2" s="496" t="str">
        <f t="array" ref="P2:P2">IF(ISERROR(MATCH(MID(Q2,1,250),MID(note_ter,1,250),0)),"n","y")</f>
        <v>n</v>
      </c>
      <c r="Q2" s="507"/>
      <c r="R2" s="496" t="str">
        <f>G2&amp;"("&amp;L2&amp;")"</f>
        <v>()</v>
      </c>
      <c r="S2" s="1155"/>
      <c r="T2" s="1155"/>
      <c r="U2" s="417"/>
      <c r="V2" s="1155"/>
      <c r="W2" s="1155"/>
      <c r="X2" s="1155"/>
      <c r="Y2" s="419"/>
      <c r="Z2" s="419"/>
      <c r="AA2" s="416"/>
      <c r="AB2" s="416"/>
      <c r="AC2" s="416"/>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6"/>
      <c r="BU2" s="416"/>
      <c r="BV2" s="419"/>
      <c r="BW2" s="419"/>
      <c r="BX2" s="419"/>
      <c r="BY2" s="419"/>
      <c r="BZ2" s="419"/>
      <c r="CA2" s="419"/>
      <c r="CB2" s="419"/>
      <c r="CC2" s="419"/>
      <c r="CD2" s="419"/>
      <c r="CE2" s="419"/>
    </row>
    <row s="1667" customFormat="1" customHeight="1" ht="5.25" hidden="1">
      <c r="A3" s="492"/>
      <c r="D3" s="490"/>
      <c r="F3" s="226" t="s">
        <v>82</v>
      </c>
      <c r="G3" s="1759" t="s">
        <v>83</v>
      </c>
      <c r="H3" s="490"/>
      <c r="I3" s="490"/>
      <c r="J3" s="490"/>
      <c r="K3" s="490"/>
      <c r="L3" s="206" t="s">
        <v>84</v>
      </c>
      <c r="M3" s="226" t="s">
        <v>82</v>
      </c>
      <c r="N3" s="226"/>
      <c r="O3" s="226"/>
      <c r="P3" s="226"/>
      <c r="Q3" s="227"/>
      <c r="R3" s="226"/>
      <c r="S3" s="226"/>
      <c r="T3" s="226"/>
      <c r="U3" s="226"/>
      <c r="V3" s="22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c r="IU3" s="206"/>
      <c r="IV3" s="206"/>
    </row>
    <row s="1844" customFormat="1" customHeight="1" ht="14.25">
      <c r="A4" s="1150"/>
      <c r="B4" s="1155"/>
      <c r="C4" s="1150"/>
      <c r="D4" s="1512"/>
      <c r="E4" s="505"/>
      <c r="F4" s="505"/>
      <c r="G4" s="505"/>
      <c r="H4" s="505"/>
      <c r="I4" s="505"/>
      <c r="J4" s="505"/>
      <c r="K4" s="505"/>
      <c r="L4" s="146"/>
      <c r="M4" s="226"/>
      <c r="N4" s="496"/>
      <c r="O4" s="496"/>
      <c r="P4" s="496"/>
      <c r="Q4" s="205"/>
      <c r="R4" s="496"/>
      <c r="S4" s="204"/>
      <c r="T4" s="204"/>
      <c r="U4" s="204"/>
      <c r="V4" s="204"/>
    </row>
    <row s="1844" customFormat="1" customHeight="1" ht="25.5">
      <c r="A5" s="1150"/>
      <c r="B5" s="1155"/>
      <c r="C5" s="1150"/>
      <c r="D5" s="1512"/>
      <c r="E5" s="1936"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36"/>
      <c r="G5" s="1936"/>
      <c r="H5" s="1936"/>
      <c r="I5" s="1936"/>
      <c r="J5" s="1936"/>
      <c r="K5" s="1936"/>
      <c r="L5" s="584"/>
      <c r="M5" s="226"/>
      <c r="N5" s="496"/>
      <c r="O5" s="496"/>
      <c r="P5" s="496"/>
      <c r="Q5" s="205"/>
      <c r="R5" s="496"/>
      <c r="S5" s="204"/>
      <c r="T5" s="204"/>
      <c r="U5" s="204"/>
      <c r="V5" s="204"/>
    </row>
    <row s="1844" customFormat="1" customHeight="1" ht="14.25">
      <c r="A6" s="1150"/>
      <c r="B6" s="1155"/>
      <c r="C6" s="1150"/>
      <c r="D6" s="1512"/>
      <c r="E6" s="505"/>
      <c r="F6" s="147"/>
      <c r="G6" s="147"/>
      <c r="H6" s="147"/>
      <c r="I6" s="147"/>
      <c r="J6" s="147"/>
      <c r="K6" s="147"/>
      <c r="L6" s="148"/>
      <c r="M6" s="496"/>
      <c r="N6" s="496"/>
      <c r="O6" s="496"/>
      <c r="P6" s="496"/>
      <c r="Q6" s="205"/>
      <c r="R6" s="496"/>
      <c r="S6" s="204"/>
      <c r="T6" s="204"/>
      <c r="U6" s="204"/>
      <c r="V6" s="204"/>
    </row>
    <row s="1844" customFormat="1" customHeight="1" ht="14.25">
      <c r="A7" s="1150"/>
      <c r="B7" s="1155"/>
      <c r="C7" s="1150"/>
      <c r="D7" s="1512"/>
      <c r="E7" s="1937" t="s">
        <v>305</v>
      </c>
      <c r="F7" s="1938"/>
      <c r="G7" s="1938"/>
      <c r="H7" s="1938"/>
      <c r="I7" s="1938"/>
      <c r="J7" s="1938"/>
      <c r="K7" s="1938"/>
      <c r="L7" s="2303" t="s">
        <v>306</v>
      </c>
      <c r="M7" s="496"/>
      <c r="N7" s="496"/>
      <c r="O7" s="496"/>
      <c r="P7" s="496"/>
      <c r="Q7" s="205"/>
      <c r="R7" s="496"/>
      <c r="S7" s="204"/>
      <c r="T7" s="204"/>
      <c r="U7" s="204"/>
      <c r="V7" s="204"/>
    </row>
    <row s="1844" customFormat="1" customHeight="1" ht="47.25">
      <c r="A8" s="1150"/>
      <c r="B8" s="1155"/>
      <c r="C8" s="1150"/>
      <c r="D8" s="1512"/>
      <c r="E8" s="2308" t="s">
        <v>87</v>
      </c>
      <c r="F8" s="2308" t="s">
        <v>1089</v>
      </c>
      <c r="G8" s="2310"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311"/>
      <c r="I8" s="2312"/>
      <c r="J8" s="2308"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308"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307"/>
      <c r="M8" s="496"/>
      <c r="N8" s="496"/>
      <c r="O8" s="496"/>
      <c r="P8" s="496"/>
      <c r="Q8" s="205"/>
      <c r="R8" s="496"/>
      <c r="S8" s="204"/>
      <c r="T8" s="204"/>
      <c r="U8" s="204"/>
      <c r="V8" s="204"/>
    </row>
    <row s="1844" customFormat="1" customHeight="1" ht="56.25">
      <c r="A9" s="1150"/>
      <c r="B9" s="1155"/>
      <c r="C9" s="1150"/>
      <c r="D9" s="1512"/>
      <c r="E9" s="2309"/>
      <c r="F9" s="2309"/>
      <c r="G9" s="1554" t="s">
        <v>1111</v>
      </c>
      <c r="H9" s="1554" t="s">
        <v>1112</v>
      </c>
      <c r="I9" s="1554" t="s">
        <v>1113</v>
      </c>
      <c r="J9" s="2309"/>
      <c r="K9" s="2309"/>
      <c r="L9" s="2304"/>
      <c r="M9" s="496"/>
      <c r="N9" s="496"/>
      <c r="O9" s="496"/>
      <c r="P9" s="496"/>
      <c r="Q9" s="205"/>
      <c r="R9" s="496"/>
      <c r="S9" s="204"/>
      <c r="T9" s="204"/>
      <c r="U9" s="204"/>
      <c r="V9" s="204"/>
    </row>
    <row s="2437" customFormat="1" customHeight="1" ht="22.5">
      <c r="A10" s="1935"/>
      <c r="B10" s="1155">
        <v>1</v>
      </c>
      <c r="C10" s="1155"/>
      <c r="D10" s="794"/>
      <c r="E10" s="792">
        <v>1</v>
      </c>
      <c r="F10" s="1556" t="str">
        <f>IF(ROIV_INFO_NAME="","",ROIV_INFO_NAME)</f>
        <v>ООО "ПРОМ ИМПУЛЬС"</v>
      </c>
      <c r="G10" s="1756" t="s">
        <v>24</v>
      </c>
      <c r="H10" s="1551"/>
      <c r="I10" s="1551"/>
      <c r="J10" s="1159"/>
      <c r="K10" s="1159"/>
      <c r="L10" s="2305" t="s">
        <v>1114</v>
      </c>
      <c r="M10" s="1552">
        <f>MERGEVALUE(F10)</f>
      </c>
      <c r="N10" s="507"/>
      <c r="O10" s="507"/>
      <c r="P10" s="496" t="str">
        <f t="array" ref="P10:P10">IF(ISERROR(MATCH(MID(Q10,1,250),MID(note_ter,1,250),0)),"n","y")</f>
        <v>n</v>
      </c>
      <c r="Q10" s="507"/>
      <c r="R10" s="49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55"/>
      <c r="T10" s="1155"/>
      <c r="U10" s="417"/>
      <c r="V10" s="1155"/>
      <c r="W10" s="1155"/>
      <c r="X10" s="1155"/>
      <c r="Y10" s="419"/>
      <c r="Z10" s="419"/>
      <c r="AA10" s="416"/>
      <c r="AB10" s="416"/>
      <c r="AC10" s="416"/>
      <c r="AD10" s="416"/>
      <c r="AE10" s="416"/>
      <c r="AF10" s="416"/>
      <c r="AG10" s="416"/>
      <c r="AH10" s="416"/>
      <c r="AI10" s="416"/>
      <c r="AJ10" s="416"/>
      <c r="AK10" s="416"/>
      <c r="AL10" s="416"/>
      <c r="AM10" s="416"/>
      <c r="AN10" s="416"/>
      <c r="AO10" s="416"/>
      <c r="AP10" s="416"/>
      <c r="AQ10" s="416"/>
      <c r="AR10" s="416"/>
      <c r="AS10" s="416"/>
      <c r="AT10" s="416"/>
      <c r="AU10" s="416"/>
      <c r="AV10" s="416"/>
      <c r="AW10" s="416"/>
      <c r="AX10" s="416"/>
      <c r="AY10" s="416"/>
      <c r="AZ10" s="416"/>
      <c r="BA10" s="416"/>
      <c r="BB10" s="416"/>
      <c r="BC10" s="416"/>
      <c r="BD10" s="416"/>
      <c r="BE10" s="416"/>
      <c r="BF10" s="416"/>
      <c r="BG10" s="416"/>
      <c r="BH10" s="416"/>
      <c r="BI10" s="416"/>
      <c r="BJ10" s="416"/>
      <c r="BK10" s="416"/>
      <c r="BL10" s="416"/>
      <c r="BM10" s="416"/>
      <c r="BN10" s="416"/>
      <c r="BO10" s="416"/>
      <c r="BP10" s="416"/>
      <c r="BQ10" s="416"/>
      <c r="BR10" s="416"/>
      <c r="BS10" s="416"/>
      <c r="BT10" s="416"/>
      <c r="BU10" s="416"/>
      <c r="BV10" s="419"/>
      <c r="BW10" s="419"/>
      <c r="BX10" s="419"/>
      <c r="BY10" s="419"/>
      <c r="BZ10" s="419"/>
      <c r="CA10" s="419"/>
      <c r="CB10" s="419"/>
      <c r="CC10" s="419"/>
      <c r="CD10" s="419"/>
      <c r="CE10" s="419"/>
    </row>
    <row s="2437" customFormat="1" customHeight="1" ht="15">
      <c r="A11" s="1935"/>
      <c r="B11" s="1155"/>
      <c r="C11" s="409"/>
      <c r="D11" s="795"/>
      <c r="E11" s="418"/>
      <c r="F11" s="413" t="s">
        <v>1115</v>
      </c>
      <c r="G11" s="167"/>
      <c r="H11" s="167"/>
      <c r="I11" s="167"/>
      <c r="J11" s="167"/>
      <c r="K11" s="167"/>
      <c r="L11" s="2306"/>
      <c r="M11" s="1553"/>
      <c r="N11" s="507"/>
      <c r="O11" s="507"/>
      <c r="P11" s="507"/>
      <c r="Q11" s="496"/>
      <c r="R11" s="507"/>
      <c r="S11" s="1155"/>
      <c r="T11" s="1155"/>
      <c r="U11" s="417"/>
      <c r="V11" s="1155"/>
      <c r="W11" s="1155"/>
      <c r="X11" s="1155"/>
      <c r="Y11" s="419"/>
      <c r="Z11" s="419"/>
      <c r="AA11" s="416"/>
      <c r="AB11" s="416"/>
      <c r="AC11" s="416"/>
      <c r="AD11" s="416"/>
      <c r="AE11" s="416"/>
      <c r="AF11" s="416"/>
      <c r="AG11" s="416"/>
      <c r="AH11" s="416"/>
      <c r="AI11" s="416"/>
      <c r="AJ11" s="416"/>
      <c r="AK11" s="416"/>
      <c r="AL11" s="416"/>
      <c r="AM11" s="416"/>
      <c r="AN11" s="416"/>
      <c r="AO11" s="416"/>
      <c r="AP11" s="416"/>
      <c r="AQ11" s="416"/>
      <c r="AR11" s="416"/>
      <c r="AS11" s="416"/>
      <c r="AT11" s="416"/>
      <c r="AU11" s="416"/>
      <c r="AV11" s="416"/>
      <c r="AW11" s="416"/>
      <c r="AX11" s="416"/>
      <c r="AY11" s="416"/>
      <c r="AZ11" s="416"/>
      <c r="BA11" s="416"/>
      <c r="BB11" s="416"/>
      <c r="BC11" s="416"/>
      <c r="BD11" s="416"/>
      <c r="BE11" s="416"/>
      <c r="BF11" s="416"/>
      <c r="BG11" s="416"/>
      <c r="BH11" s="416"/>
      <c r="BI11" s="416"/>
      <c r="BJ11" s="416"/>
      <c r="BK11" s="416"/>
      <c r="BL11" s="416"/>
      <c r="BM11" s="416"/>
      <c r="BN11" s="416"/>
      <c r="BO11" s="416"/>
      <c r="BP11" s="416"/>
      <c r="BQ11" s="416"/>
      <c r="BR11" s="416"/>
      <c r="BS11" s="416"/>
      <c r="BT11" s="416"/>
      <c r="BU11" s="416"/>
      <c r="BV11" s="419"/>
      <c r="BW11" s="419"/>
      <c r="BX11" s="419"/>
      <c r="BY11" s="419"/>
      <c r="BZ11" s="419"/>
      <c r="CA11" s="419"/>
      <c r="CB11" s="419"/>
      <c r="CC11" s="419"/>
      <c r="CD11" s="419"/>
      <c r="CE11" s="419"/>
    </row>
    <row s="1844" customFormat="1" customHeight="1" ht="21">
      <c r="A12" s="1150"/>
      <c r="B12" s="1155"/>
      <c r="C12" s="1150"/>
      <c r="D12" s="447"/>
      <c r="E12" s="160"/>
      <c r="F12" s="160"/>
      <c r="G12" s="160"/>
      <c r="H12" s="160"/>
      <c r="I12" s="160"/>
      <c r="J12" s="160"/>
      <c r="K12" s="160"/>
      <c r="L12" s="160"/>
      <c r="M12" s="496"/>
      <c r="N12" s="496"/>
      <c r="O12" s="496"/>
      <c r="P12" s="496"/>
      <c r="Q12" s="205"/>
      <c r="R12" s="496"/>
      <c r="S12" s="204"/>
      <c r="T12" s="204"/>
      <c r="U12" s="204"/>
      <c r="V12" s="204"/>
    </row>
    <row s="1844" customFormat="1" customHeight="1" ht="14.25">
      <c r="A13" s="1150"/>
      <c r="B13" s="1155"/>
      <c r="C13" s="1150"/>
      <c r="D13" s="447"/>
      <c r="E13" s="1150"/>
      <c r="F13" s="1150"/>
      <c r="G13" s="1150"/>
      <c r="H13" s="1150"/>
      <c r="I13" s="1150"/>
      <c r="J13" s="1150"/>
      <c r="K13" s="1150"/>
      <c r="L13" s="1150"/>
      <c r="M13" s="496"/>
      <c r="N13" s="496"/>
      <c r="O13" s="496"/>
      <c r="P13" s="496"/>
      <c r="Q13" s="205"/>
      <c r="R13" s="496"/>
      <c r="S13" s="204"/>
      <c r="T13" s="204"/>
      <c r="U13" s="204"/>
      <c r="V13" s="204"/>
    </row>
    <row s="1844" customFormat="1" customHeight="1" ht="0.75">
      <c r="A14" s="1150"/>
      <c r="B14" s="1155"/>
      <c r="C14" s="1150"/>
      <c r="D14" s="447"/>
      <c r="E14" s="1150"/>
      <c r="F14" s="1150"/>
      <c r="G14" s="1150"/>
      <c r="H14" s="1150"/>
      <c r="I14" s="1150"/>
      <c r="J14" s="1150"/>
      <c r="K14" s="1150"/>
      <c r="L14" s="1150"/>
      <c r="M14" s="496"/>
      <c r="N14" s="496"/>
      <c r="O14" s="496"/>
      <c r="P14" s="496"/>
      <c r="Q14" s="205"/>
      <c r="R14" s="496"/>
      <c r="S14" s="204"/>
      <c r="T14" s="204"/>
      <c r="U14" s="204"/>
      <c r="V14" s="204"/>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DEB0FC-946F-1D8C-98C2-2F518F923ABB}" mc:Ignorable="x14ac xr xr2 xr3">
  <dimension ref="A1:IY16"/>
  <sheetViews>
    <sheetView topLeftCell="D5" showGridLines="0" zoomScale="90" workbookViewId="0">
      <selection activeCell="A1" sqref="A1"/>
    </sheetView>
  </sheetViews>
  <sheetFormatPr defaultColWidth="9.140625" customHeight="1" defaultRowHeight="14.25"/>
  <cols>
    <col min="1" max="1" style="1660" width="9.140625" hidden="1"/>
    <col min="2" max="2" style="1383" width="9.140625" hidden="1"/>
    <col min="3" max="3" style="1660" width="3.7109375" hidden="1" customWidth="1"/>
    <col min="4" max="4" style="1866" width="3.8515625" customWidth="1"/>
    <col min="5" max="5" style="1660" width="10.140625" customWidth="1"/>
    <col min="6" max="6" style="1660" width="6.28125" customWidth="1"/>
    <col min="7" max="7" style="1660" width="27.28125" customWidth="1"/>
    <col min="8" max="8" style="1660" width="29.28125" customWidth="1"/>
    <col min="9" max="9" style="1660" width="25.421875" customWidth="1"/>
    <col min="10" max="10" style="1660" width="5.57421875" customWidth="1"/>
    <col min="11" max="11" style="1660" width="6.57421875" customWidth="1"/>
    <col min="12" max="12" style="1660" width="41.8515625" customWidth="1"/>
    <col min="13" max="13" style="1660" width="42.421875" customWidth="1"/>
    <col min="14" max="14" style="1660" width="41.57421875" customWidth="1"/>
    <col min="15" max="15" style="1660" width="64.140625" customWidth="1"/>
    <col min="16" max="16" style="1649" width="3.7109375" customWidth="1"/>
    <col min="17" max="19" style="1649" width="9.140625"/>
    <col min="20" max="20" style="1649" width="25.7109375" customWidth="1"/>
    <col min="21" max="21" style="1649" width="14.421875" customWidth="1"/>
    <col min="22" max="25" style="204" width="9.140625"/>
    <col min="26" max="259" style="1660" width="9.140625"/>
  </cols>
  <sheetData>
    <row customHeight="1" ht="14.25" hidden="1"/>
    <row s="2437" customFormat="1" customHeight="1" ht="22.5" hidden="1">
      <c r="A2" s="492"/>
      <c r="B2" s="1155">
        <v>1</v>
      </c>
      <c r="C2" s="1155"/>
      <c r="D2" s="795"/>
      <c r="E2" s="1953"/>
      <c r="F2" s="1953">
        <v>1</v>
      </c>
      <c r="G2" s="2313" t="str">
        <f>IF(region_name="","",region_name)</f>
        <v>г.Санкт-Петербург</v>
      </c>
      <c r="H2" s="2314"/>
      <c r="I2" s="2315"/>
      <c r="J2" s="470"/>
      <c r="K2" s="1501">
        <v>1</v>
      </c>
      <c r="L2" s="1159"/>
      <c r="M2" s="1159"/>
      <c r="N2" s="1159"/>
      <c r="O2" s="1159"/>
      <c r="P2" s="1552">
        <f>MERGEVALUE(G2)</f>
      </c>
      <c r="Q2" s="507"/>
      <c r="R2" s="507"/>
      <c r="S2" s="496" t="str">
        <f t="array" ref="S2:S2">IF(ISERROR(MATCH(MID(T2,1,250),MID(note_ter,1,250),0)),"n","y")</f>
        <v>n</v>
      </c>
      <c r="T2" s="507"/>
      <c r="U2" s="496"/>
      <c r="V2" s="1155"/>
      <c r="W2" s="1155"/>
      <c r="X2" s="417"/>
      <c r="Y2" s="1155"/>
      <c r="Z2" s="1155"/>
      <c r="AA2" s="1155"/>
      <c r="AB2" s="419"/>
      <c r="AC2" s="419"/>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6"/>
      <c r="BU2" s="416"/>
      <c r="BV2" s="416"/>
      <c r="BW2" s="416"/>
      <c r="BX2" s="416"/>
      <c r="BY2" s="419"/>
      <c r="BZ2" s="419"/>
      <c r="CA2" s="419"/>
      <c r="CB2" s="419"/>
      <c r="CC2" s="419"/>
      <c r="CD2" s="419"/>
      <c r="CE2" s="419"/>
      <c r="CF2" s="419"/>
      <c r="CG2" s="419"/>
      <c r="CH2" s="419"/>
    </row>
    <row s="2437" customFormat="1" customHeight="1" ht="22.5" hidden="1">
      <c r="A3" s="825"/>
      <c r="B3" s="1155"/>
      <c r="C3" s="1155"/>
      <c r="D3" s="795"/>
      <c r="E3" s="1953"/>
      <c r="F3" s="1953"/>
      <c r="G3" s="2313"/>
      <c r="H3" s="2314"/>
      <c r="I3" s="2316"/>
      <c r="J3" s="1561"/>
      <c r="K3" s="1517"/>
      <c r="L3" s="1517" t="s">
        <v>1116</v>
      </c>
      <c r="M3" s="1564"/>
      <c r="N3" s="1564"/>
      <c r="O3" s="1565"/>
      <c r="P3" s="1552"/>
      <c r="Q3" s="507"/>
      <c r="R3" s="507"/>
      <c r="S3" s="496"/>
      <c r="T3" s="507"/>
      <c r="U3" s="496"/>
      <c r="V3" s="1155"/>
      <c r="W3" s="1155"/>
      <c r="X3" s="417"/>
      <c r="Y3" s="1155"/>
      <c r="Z3" s="1155"/>
      <c r="AA3" s="1155"/>
      <c r="AB3" s="419"/>
      <c r="AC3" s="419"/>
      <c r="AD3" s="416"/>
      <c r="AE3" s="416"/>
      <c r="AF3" s="416"/>
      <c r="AG3" s="416"/>
      <c r="AH3" s="416"/>
      <c r="AI3" s="416"/>
      <c r="AJ3" s="416"/>
      <c r="AK3" s="416"/>
      <c r="AL3" s="416"/>
      <c r="AM3" s="416"/>
      <c r="AN3" s="416"/>
      <c r="AO3" s="416"/>
      <c r="AP3" s="416"/>
      <c r="AQ3" s="416"/>
      <c r="AR3" s="416"/>
      <c r="AS3" s="416"/>
      <c r="AT3" s="416"/>
      <c r="AU3" s="416"/>
      <c r="AV3" s="416"/>
      <c r="AW3" s="416"/>
      <c r="AX3" s="416"/>
      <c r="AY3" s="416"/>
      <c r="AZ3" s="416"/>
      <c r="BA3" s="416"/>
      <c r="BB3" s="416"/>
      <c r="BC3" s="416"/>
      <c r="BD3" s="416"/>
      <c r="BE3" s="416"/>
      <c r="BF3" s="416"/>
      <c r="BG3" s="416"/>
      <c r="BH3" s="416"/>
      <c r="BI3" s="416"/>
      <c r="BJ3" s="416"/>
      <c r="BK3" s="416"/>
      <c r="BL3" s="416"/>
      <c r="BM3" s="416"/>
      <c r="BN3" s="416"/>
      <c r="BO3" s="416"/>
      <c r="BP3" s="416"/>
      <c r="BQ3" s="416"/>
      <c r="BR3" s="416"/>
      <c r="BS3" s="416"/>
      <c r="BT3" s="416"/>
      <c r="BU3" s="416"/>
      <c r="BV3" s="416"/>
      <c r="BW3" s="416"/>
      <c r="BX3" s="416"/>
      <c r="BY3" s="419"/>
      <c r="BZ3" s="419"/>
      <c r="CA3" s="419"/>
      <c r="CB3" s="419"/>
      <c r="CC3" s="419"/>
      <c r="CD3" s="419"/>
      <c r="CE3" s="419"/>
      <c r="CF3" s="419"/>
      <c r="CG3" s="419"/>
      <c r="CH3" s="419"/>
    </row>
    <row s="1667" customFormat="1" customHeight="1" ht="5.25" hidden="1">
      <c r="A4" s="492"/>
      <c r="D4" s="490"/>
      <c r="G4" s="226" t="s">
        <v>82</v>
      </c>
      <c r="H4" s="490" t="s">
        <v>83</v>
      </c>
      <c r="I4" s="490"/>
      <c r="J4" s="1566"/>
      <c r="K4" s="1566"/>
      <c r="L4" s="1566"/>
      <c r="M4" s="1566"/>
      <c r="N4" s="1566"/>
      <c r="O4" s="1566"/>
      <c r="P4" s="226" t="s">
        <v>82</v>
      </c>
      <c r="Q4" s="226"/>
      <c r="R4" s="226"/>
      <c r="S4" s="226"/>
      <c r="T4" s="227"/>
      <c r="U4" s="226"/>
      <c r="V4" s="226"/>
      <c r="W4" s="226"/>
      <c r="X4" s="226"/>
      <c r="Y4" s="22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c r="BM4" s="206"/>
      <c r="BN4" s="206"/>
      <c r="BO4" s="206"/>
      <c r="BP4" s="206"/>
      <c r="BQ4" s="206"/>
      <c r="BR4" s="206"/>
      <c r="BS4" s="206"/>
      <c r="BT4" s="206"/>
      <c r="BU4" s="206"/>
      <c r="BV4" s="206"/>
      <c r="BW4" s="206"/>
      <c r="BX4" s="206"/>
      <c r="BY4" s="206"/>
      <c r="BZ4" s="206"/>
      <c r="CA4" s="206"/>
      <c r="CB4" s="206"/>
      <c r="CC4" s="206"/>
      <c r="CD4" s="206"/>
      <c r="CE4" s="206"/>
      <c r="CF4" s="206"/>
      <c r="CG4" s="206"/>
      <c r="CH4" s="206"/>
      <c r="CI4" s="206"/>
      <c r="CJ4" s="206"/>
      <c r="CK4" s="206"/>
      <c r="CL4" s="206"/>
      <c r="CM4" s="206"/>
      <c r="CN4" s="206"/>
      <c r="CO4" s="206"/>
      <c r="CP4" s="206"/>
      <c r="CQ4" s="206"/>
      <c r="CR4" s="206"/>
      <c r="CS4" s="206"/>
      <c r="CT4" s="206"/>
      <c r="CU4" s="206"/>
      <c r="CV4" s="206"/>
      <c r="CW4" s="206"/>
      <c r="CX4" s="206"/>
      <c r="CY4" s="206"/>
      <c r="CZ4" s="206"/>
      <c r="DA4" s="206"/>
      <c r="DB4" s="206"/>
      <c r="DC4" s="206"/>
      <c r="DD4" s="206"/>
      <c r="DE4" s="206"/>
      <c r="DF4" s="206"/>
      <c r="DG4" s="206"/>
      <c r="DH4" s="206"/>
      <c r="DI4" s="206"/>
      <c r="DJ4" s="206"/>
      <c r="DK4" s="206"/>
      <c r="DL4" s="206"/>
      <c r="DM4" s="206"/>
      <c r="DN4" s="206"/>
      <c r="DO4" s="206"/>
      <c r="DP4" s="206"/>
      <c r="DQ4" s="206"/>
      <c r="DR4" s="206"/>
      <c r="DS4" s="206"/>
      <c r="DT4" s="206"/>
      <c r="DU4" s="206"/>
      <c r="DV4" s="206"/>
      <c r="DW4" s="206"/>
      <c r="DX4" s="206"/>
      <c r="DY4" s="206"/>
      <c r="DZ4" s="206"/>
      <c r="EA4" s="206"/>
      <c r="EB4" s="206"/>
      <c r="EC4" s="206"/>
      <c r="ED4" s="206"/>
      <c r="EE4" s="206"/>
      <c r="EF4" s="206"/>
      <c r="EG4" s="206"/>
      <c r="EH4" s="206"/>
      <c r="EI4" s="206"/>
      <c r="EJ4" s="206"/>
      <c r="EK4" s="206"/>
      <c r="EL4" s="206"/>
      <c r="EM4" s="206"/>
      <c r="EN4" s="206"/>
      <c r="EO4" s="206"/>
      <c r="EP4" s="206"/>
      <c r="EQ4" s="206"/>
      <c r="ER4" s="206"/>
      <c r="ES4" s="206"/>
      <c r="ET4" s="206"/>
      <c r="EU4" s="206"/>
      <c r="EV4" s="206"/>
      <c r="EW4" s="206"/>
      <c r="EX4" s="206"/>
      <c r="EY4" s="206"/>
      <c r="EZ4" s="206"/>
      <c r="FA4" s="206"/>
      <c r="FB4" s="206"/>
      <c r="FC4" s="206"/>
      <c r="FD4" s="206"/>
      <c r="FE4" s="206"/>
      <c r="FF4" s="206"/>
      <c r="FG4" s="206"/>
      <c r="FH4" s="206"/>
      <c r="FI4" s="206"/>
      <c r="FJ4" s="206"/>
      <c r="FK4" s="206"/>
      <c r="FL4" s="206"/>
      <c r="FM4" s="206"/>
      <c r="FN4" s="206"/>
      <c r="FO4" s="206"/>
      <c r="FP4" s="206"/>
      <c r="FQ4" s="206"/>
      <c r="FR4" s="206"/>
      <c r="FS4" s="206"/>
      <c r="FT4" s="206"/>
      <c r="FU4" s="206"/>
      <c r="FV4" s="206"/>
      <c r="FW4" s="206"/>
      <c r="FX4" s="206"/>
      <c r="FY4" s="206"/>
      <c r="FZ4" s="206"/>
      <c r="GA4" s="206"/>
      <c r="GB4" s="206"/>
      <c r="GC4" s="206"/>
      <c r="GD4" s="206"/>
      <c r="GE4" s="206"/>
      <c r="GF4" s="206"/>
      <c r="GG4" s="206"/>
      <c r="GH4" s="206"/>
      <c r="GI4" s="206"/>
      <c r="GJ4" s="206"/>
      <c r="GK4" s="206"/>
      <c r="GL4" s="206"/>
      <c r="GM4" s="206"/>
      <c r="GN4" s="206"/>
      <c r="GO4" s="206"/>
      <c r="GP4" s="206"/>
      <c r="GQ4" s="206"/>
      <c r="GR4" s="206"/>
      <c r="GS4" s="206"/>
      <c r="GT4" s="206"/>
      <c r="GU4" s="206"/>
      <c r="GV4" s="206"/>
      <c r="GW4" s="206"/>
      <c r="GX4" s="206"/>
      <c r="GY4" s="206"/>
      <c r="GZ4" s="206"/>
      <c r="HA4" s="206"/>
      <c r="HB4" s="206"/>
      <c r="HC4" s="206"/>
      <c r="HD4" s="206"/>
      <c r="HE4" s="206"/>
      <c r="HF4" s="206"/>
      <c r="HG4" s="206"/>
      <c r="HH4" s="206"/>
      <c r="HI4" s="206"/>
      <c r="HJ4" s="206"/>
      <c r="HK4" s="206"/>
      <c r="HL4" s="206"/>
      <c r="HM4" s="206"/>
      <c r="HN4" s="206"/>
      <c r="HO4" s="206"/>
      <c r="HP4" s="206"/>
      <c r="HQ4" s="206"/>
      <c r="HR4" s="206"/>
      <c r="HS4" s="206"/>
      <c r="HT4" s="206"/>
      <c r="HU4" s="206"/>
      <c r="HV4" s="206"/>
      <c r="HW4" s="206"/>
      <c r="HX4" s="206"/>
      <c r="HY4" s="206"/>
      <c r="HZ4" s="206"/>
      <c r="IA4" s="206"/>
      <c r="IB4" s="206"/>
      <c r="IC4" s="206"/>
      <c r="ID4" s="206"/>
      <c r="IE4" s="206"/>
      <c r="IF4" s="206"/>
      <c r="IG4" s="206"/>
      <c r="IH4" s="206"/>
      <c r="II4" s="206"/>
      <c r="IJ4" s="206"/>
      <c r="IK4" s="206"/>
      <c r="IL4" s="206"/>
      <c r="IM4" s="206"/>
      <c r="IN4" s="206"/>
      <c r="IO4" s="206"/>
      <c r="IP4" s="206"/>
      <c r="IQ4" s="206"/>
      <c r="IR4" s="206"/>
      <c r="IS4" s="206"/>
      <c r="IT4" s="206"/>
      <c r="IU4" s="206"/>
      <c r="IV4" s="206"/>
      <c r="IW4" s="206"/>
      <c r="IX4" s="206"/>
      <c r="IY4" s="206"/>
    </row>
    <row s="1844" customFormat="1" customHeight="1" ht="14.25">
      <c r="A5" s="1150"/>
      <c r="B5" s="1155"/>
      <c r="C5" s="1150"/>
      <c r="D5" s="1512"/>
      <c r="E5" s="505"/>
      <c r="F5" s="505"/>
      <c r="G5" s="505"/>
      <c r="H5" s="505"/>
      <c r="I5" s="505"/>
      <c r="J5" s="505"/>
      <c r="K5" s="505"/>
      <c r="L5" s="505"/>
      <c r="M5" s="505"/>
      <c r="N5" s="505"/>
      <c r="O5" s="505"/>
      <c r="P5" s="226"/>
      <c r="Q5" s="496"/>
      <c r="R5" s="496"/>
      <c r="S5" s="496"/>
      <c r="T5" s="205"/>
      <c r="U5" s="496"/>
      <c r="V5" s="204"/>
      <c r="W5" s="204"/>
      <c r="X5" s="204"/>
      <c r="Y5" s="204"/>
    </row>
    <row s="1844" customFormat="1" customHeight="1" ht="25.5">
      <c r="A6" s="1150"/>
      <c r="B6" s="1155"/>
      <c r="C6" s="1150"/>
      <c r="D6" s="1512"/>
      <c r="E6" s="1936" t="s">
        <v>1117</v>
      </c>
      <c r="F6" s="1936"/>
      <c r="G6" s="1936"/>
      <c r="H6" s="1936"/>
      <c r="I6" s="1936"/>
      <c r="J6" s="1936"/>
      <c r="K6" s="1936"/>
      <c r="L6" s="1936"/>
      <c r="M6" s="1936"/>
      <c r="N6" s="1936"/>
      <c r="O6" s="1936"/>
      <c r="P6" s="226"/>
      <c r="Q6" s="496"/>
      <c r="R6" s="496"/>
      <c r="S6" s="496"/>
      <c r="T6" s="205"/>
      <c r="U6" s="496"/>
      <c r="V6" s="204"/>
      <c r="W6" s="204"/>
      <c r="X6" s="204"/>
      <c r="Y6" s="204"/>
    </row>
    <row s="1844" customFormat="1" customHeight="1" ht="14.25">
      <c r="A7" s="1150"/>
      <c r="B7" s="1155"/>
      <c r="C7" s="1150"/>
      <c r="D7" s="1512"/>
      <c r="E7" s="505"/>
      <c r="F7" s="505"/>
      <c r="G7" s="147"/>
      <c r="H7" s="147"/>
      <c r="I7" s="147"/>
      <c r="J7" s="147"/>
      <c r="K7" s="147"/>
      <c r="L7" s="147"/>
      <c r="M7" s="147"/>
      <c r="N7" s="147"/>
      <c r="O7" s="147"/>
      <c r="P7" s="496"/>
      <c r="Q7" s="496"/>
      <c r="R7" s="496"/>
      <c r="S7" s="496"/>
      <c r="T7" s="205"/>
      <c r="U7" s="496"/>
      <c r="V7" s="204"/>
      <c r="W7" s="204"/>
      <c r="X7" s="204"/>
      <c r="Y7" s="204"/>
    </row>
    <row s="1570" customFormat="1" customHeight="1" ht="42.75">
      <c r="A8" s="1485"/>
      <c r="B8" s="1495"/>
      <c r="C8" s="1485"/>
      <c r="D8" s="1512"/>
      <c r="E8" s="1575" t="s">
        <v>306</v>
      </c>
      <c r="F8" s="1575"/>
      <c r="G8" s="1576" t="s">
        <v>310</v>
      </c>
      <c r="H8" s="1576" t="s">
        <v>1118</v>
      </c>
      <c r="I8" s="1576" t="s">
        <v>314</v>
      </c>
      <c r="J8" s="2320"/>
      <c r="K8" s="2321"/>
      <c r="L8" s="2322"/>
      <c r="M8" s="1576" t="s">
        <v>1119</v>
      </c>
      <c r="N8" s="1576" t="s">
        <v>1120</v>
      </c>
      <c r="O8" s="1576" t="s">
        <v>1121</v>
      </c>
      <c r="P8" s="1567"/>
      <c r="Q8" s="1567"/>
      <c r="R8" s="1567"/>
      <c r="S8" s="1567"/>
      <c r="T8" s="1568"/>
      <c r="U8" s="1567"/>
      <c r="V8" s="1569"/>
      <c r="W8" s="1569"/>
      <c r="X8" s="1569"/>
      <c r="Y8" s="1569"/>
    </row>
    <row s="1844" customFormat="1" customHeight="1" ht="47.25">
      <c r="A9" s="1150"/>
      <c r="B9" s="1155"/>
      <c r="C9" s="1150"/>
      <c r="D9" s="1512"/>
      <c r="E9" s="2072" t="s">
        <v>305</v>
      </c>
      <c r="F9" s="2309" t="s">
        <v>87</v>
      </c>
      <c r="G9" s="2309" t="s">
        <v>309</v>
      </c>
      <c r="H9" s="2309" t="s">
        <v>1122</v>
      </c>
      <c r="I9" s="2309"/>
      <c r="J9" s="2309" t="s">
        <v>1123</v>
      </c>
      <c r="K9" s="2309"/>
      <c r="L9" s="2309"/>
      <c r="M9" s="2309" t="s">
        <v>1124</v>
      </c>
      <c r="N9" s="2309" t="s">
        <v>1125</v>
      </c>
      <c r="O9" s="2309"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496"/>
      <c r="Q9" s="496"/>
      <c r="R9" s="496"/>
      <c r="S9" s="496"/>
      <c r="T9" s="205"/>
      <c r="U9" s="496"/>
      <c r="V9" s="204"/>
      <c r="W9" s="204"/>
      <c r="X9" s="204"/>
      <c r="Y9" s="204"/>
    </row>
    <row s="1844" customFormat="1" customHeight="1" ht="63.75">
      <c r="A10" s="1150"/>
      <c r="B10" s="1155"/>
      <c r="C10" s="1150"/>
      <c r="D10" s="1512"/>
      <c r="E10" s="1953"/>
      <c r="F10" s="2319"/>
      <c r="G10" s="2319"/>
      <c r="H10" s="152" t="s">
        <v>1126</v>
      </c>
      <c r="I10" s="152" t="s">
        <v>313</v>
      </c>
      <c r="J10" s="2308"/>
      <c r="K10" s="2308"/>
      <c r="L10" s="2319"/>
      <c r="M10" s="2319"/>
      <c r="N10" s="2319"/>
      <c r="O10" s="2319"/>
      <c r="P10" s="496"/>
      <c r="Q10" s="496"/>
      <c r="R10" s="496"/>
      <c r="S10" s="496"/>
      <c r="T10" s="205"/>
      <c r="U10" s="496"/>
      <c r="V10" s="204"/>
      <c r="W10" s="204"/>
      <c r="X10" s="204"/>
      <c r="Y10" s="204"/>
    </row>
    <row s="2437" customFormat="1" customHeight="1" ht="22.5">
      <c r="A11" s="1935">
        <v>26379339</v>
      </c>
      <c r="B11" s="1155">
        <v>1</v>
      </c>
      <c r="C11" s="1155"/>
      <c r="D11" s="795"/>
      <c r="E11" s="2072"/>
      <c r="F11" s="2072">
        <v>1</v>
      </c>
      <c r="G11" s="2317" t="str">
        <f>IF(region_name="","",region_name)</f>
        <v>г.Санкт-Петербург</v>
      </c>
      <c r="H11" s="2318"/>
      <c r="I11" s="2323"/>
      <c r="J11" s="470"/>
      <c r="K11" s="1501">
        <v>1</v>
      </c>
      <c r="L11" s="1577"/>
      <c r="M11" s="1563"/>
      <c r="N11" s="1563"/>
      <c r="O11" s="1562"/>
      <c r="P11" s="1552">
        <f>MERGEVALUE(G11)</f>
      </c>
      <c r="Q11" s="507"/>
      <c r="R11" s="507"/>
      <c r="S11" s="496" t="str">
        <f t="array" ref="S11:S11">IF(ISERROR(MATCH(MID(T11,1,250),MID(note_ter,1,250),0)),"n","y")</f>
        <v>n</v>
      </c>
      <c r="T11" s="507"/>
      <c r="U11" s="496"/>
      <c r="V11" s="1155"/>
      <c r="W11" s="1155"/>
      <c r="X11" s="417"/>
      <c r="Y11" s="1155"/>
      <c r="Z11" s="1155"/>
      <c r="AA11" s="1155"/>
      <c r="AB11" s="419"/>
      <c r="AC11" s="419"/>
      <c r="AD11" s="416"/>
      <c r="AE11" s="416"/>
      <c r="AF11" s="416"/>
      <c r="AG11" s="416"/>
      <c r="AH11" s="416"/>
      <c r="AI11" s="416"/>
      <c r="AJ11" s="416"/>
      <c r="AK11" s="416"/>
      <c r="AL11" s="416"/>
      <c r="AM11" s="416"/>
      <c r="AN11" s="416"/>
      <c r="AO11" s="416"/>
      <c r="AP11" s="416"/>
      <c r="AQ11" s="416"/>
      <c r="AR11" s="416"/>
      <c r="AS11" s="416"/>
      <c r="AT11" s="416"/>
      <c r="AU11" s="416"/>
      <c r="AV11" s="416"/>
      <c r="AW11" s="416"/>
      <c r="AX11" s="416"/>
      <c r="AY11" s="416"/>
      <c r="AZ11" s="416"/>
      <c r="BA11" s="416"/>
      <c r="BB11" s="416"/>
      <c r="BC11" s="416"/>
      <c r="BD11" s="416"/>
      <c r="BE11" s="416"/>
      <c r="BF11" s="416"/>
      <c r="BG11" s="416"/>
      <c r="BH11" s="416"/>
      <c r="BI11" s="416"/>
      <c r="BJ11" s="416"/>
      <c r="BK11" s="416"/>
      <c r="BL11" s="416"/>
      <c r="BM11" s="416"/>
      <c r="BN11" s="416"/>
      <c r="BO11" s="416"/>
      <c r="BP11" s="416"/>
      <c r="BQ11" s="416"/>
      <c r="BR11" s="416"/>
      <c r="BS11" s="416"/>
      <c r="BT11" s="416"/>
      <c r="BU11" s="416"/>
      <c r="BV11" s="416"/>
      <c r="BW11" s="416"/>
      <c r="BX11" s="416"/>
      <c r="BY11" s="419"/>
      <c r="BZ11" s="419"/>
      <c r="CA11" s="419"/>
      <c r="CB11" s="419"/>
      <c r="CC11" s="419"/>
      <c r="CD11" s="419"/>
      <c r="CE11" s="419"/>
      <c r="CF11" s="419"/>
      <c r="CG11" s="419"/>
      <c r="CH11" s="419"/>
    </row>
    <row s="2437" customFormat="1" customHeight="1" ht="22.5">
      <c r="A12" s="1935"/>
      <c r="B12" s="1155"/>
      <c r="C12" s="1155"/>
      <c r="D12" s="795"/>
      <c r="E12" s="2072"/>
      <c r="F12" s="2072"/>
      <c r="G12" s="2317"/>
      <c r="H12" s="2318"/>
      <c r="I12" s="2324"/>
      <c r="J12" s="1561"/>
      <c r="K12" s="1517"/>
      <c r="L12" s="1517" t="s">
        <v>1116</v>
      </c>
      <c r="M12" s="1564"/>
      <c r="N12" s="1564"/>
      <c r="O12" s="1565"/>
      <c r="P12" s="1552"/>
      <c r="Q12" s="507"/>
      <c r="R12" s="507"/>
      <c r="S12" s="496"/>
      <c r="T12" s="507"/>
      <c r="U12" s="496"/>
      <c r="V12" s="1155"/>
      <c r="W12" s="1155"/>
      <c r="X12" s="417"/>
      <c r="Y12" s="1155"/>
      <c r="Z12" s="1155"/>
      <c r="AA12" s="1155"/>
      <c r="AB12" s="419"/>
      <c r="AC12" s="419"/>
      <c r="AD12" s="416"/>
      <c r="AE12" s="416"/>
      <c r="AF12" s="416"/>
      <c r="AG12" s="416"/>
      <c r="AH12" s="416"/>
      <c r="AI12" s="416"/>
      <c r="AJ12" s="416"/>
      <c r="AK12" s="416"/>
      <c r="AL12" s="416"/>
      <c r="AM12" s="416"/>
      <c r="AN12" s="416"/>
      <c r="AO12" s="416"/>
      <c r="AP12" s="416"/>
      <c r="AQ12" s="416"/>
      <c r="AR12" s="416"/>
      <c r="AS12" s="416"/>
      <c r="AT12" s="416"/>
      <c r="AU12" s="416"/>
      <c r="AV12" s="416"/>
      <c r="AW12" s="416"/>
      <c r="AX12" s="416"/>
      <c r="AY12" s="416"/>
      <c r="AZ12" s="416"/>
      <c r="BA12" s="416"/>
      <c r="BB12" s="416"/>
      <c r="BC12" s="416"/>
      <c r="BD12" s="416"/>
      <c r="BE12" s="416"/>
      <c r="BF12" s="416"/>
      <c r="BG12" s="416"/>
      <c r="BH12" s="416"/>
      <c r="BI12" s="416"/>
      <c r="BJ12" s="416"/>
      <c r="BK12" s="416"/>
      <c r="BL12" s="416"/>
      <c r="BM12" s="416"/>
      <c r="BN12" s="416"/>
      <c r="BO12" s="416"/>
      <c r="BP12" s="416"/>
      <c r="BQ12" s="416"/>
      <c r="BR12" s="416"/>
      <c r="BS12" s="416"/>
      <c r="BT12" s="416"/>
      <c r="BU12" s="416"/>
      <c r="BV12" s="416"/>
      <c r="BW12" s="416"/>
      <c r="BX12" s="416"/>
      <c r="BY12" s="419"/>
      <c r="BZ12" s="419"/>
      <c r="CA12" s="419"/>
      <c r="CB12" s="419"/>
      <c r="CC12" s="419"/>
      <c r="CD12" s="419"/>
      <c r="CE12" s="419"/>
      <c r="CF12" s="419"/>
      <c r="CG12" s="419"/>
      <c r="CH12" s="419"/>
    </row>
    <row s="2437" customFormat="1" customHeight="1" ht="22.5">
      <c r="A13" s="1935"/>
      <c r="B13" s="1155"/>
      <c r="C13" s="409"/>
      <c r="D13" s="795"/>
      <c r="E13" s="1558"/>
      <c r="F13" s="1561"/>
      <c r="G13" s="1517" t="s">
        <v>1110</v>
      </c>
      <c r="H13" s="1559"/>
      <c r="I13" s="1559"/>
      <c r="J13" s="167"/>
      <c r="K13" s="167"/>
      <c r="L13" s="167"/>
      <c r="M13" s="167"/>
      <c r="N13" s="167"/>
      <c r="O13" s="1560"/>
      <c r="P13" s="1553"/>
      <c r="Q13" s="507"/>
      <c r="R13" s="507"/>
      <c r="S13" s="507"/>
      <c r="T13" s="496"/>
      <c r="U13" s="507"/>
      <c r="V13" s="1155"/>
      <c r="W13" s="1155"/>
      <c r="X13" s="417"/>
      <c r="Y13" s="1155"/>
      <c r="Z13" s="1155"/>
      <c r="AA13" s="1155"/>
      <c r="AB13" s="419"/>
      <c r="AC13" s="419"/>
      <c r="AD13" s="416"/>
      <c r="AE13" s="416"/>
      <c r="AF13" s="416"/>
      <c r="AG13" s="416"/>
      <c r="AH13" s="416"/>
      <c r="AI13" s="416"/>
      <c r="AJ13" s="416"/>
      <c r="AK13" s="416"/>
      <c r="AL13" s="416"/>
      <c r="AM13" s="416"/>
      <c r="AN13" s="416"/>
      <c r="AO13" s="416"/>
      <c r="AP13" s="416"/>
      <c r="AQ13" s="416"/>
      <c r="AR13" s="416"/>
      <c r="AS13" s="416"/>
      <c r="AT13" s="416"/>
      <c r="AU13" s="416"/>
      <c r="AV13" s="416"/>
      <c r="AW13" s="416"/>
      <c r="AX13" s="416"/>
      <c r="AY13" s="416"/>
      <c r="AZ13" s="416"/>
      <c r="BA13" s="416"/>
      <c r="BB13" s="416"/>
      <c r="BC13" s="416"/>
      <c r="BD13" s="416"/>
      <c r="BE13" s="416"/>
      <c r="BF13" s="416"/>
      <c r="BG13" s="416"/>
      <c r="BH13" s="416"/>
      <c r="BI13" s="416"/>
      <c r="BJ13" s="416"/>
      <c r="BK13" s="416"/>
      <c r="BL13" s="416"/>
      <c r="BM13" s="416"/>
      <c r="BN13" s="416"/>
      <c r="BO13" s="416"/>
      <c r="BP13" s="416"/>
      <c r="BQ13" s="416"/>
      <c r="BR13" s="416"/>
      <c r="BS13" s="416"/>
      <c r="BT13" s="416"/>
      <c r="BU13" s="416"/>
      <c r="BV13" s="416"/>
      <c r="BW13" s="416"/>
      <c r="BX13" s="416"/>
      <c r="BY13" s="419"/>
      <c r="BZ13" s="419"/>
      <c r="CA13" s="419"/>
      <c r="CB13" s="419"/>
      <c r="CC13" s="419"/>
      <c r="CD13" s="419"/>
      <c r="CE13" s="419"/>
      <c r="CF13" s="419"/>
      <c r="CG13" s="419"/>
      <c r="CH13" s="419"/>
    </row>
    <row s="1844" customFormat="1" customHeight="1" ht="21">
      <c r="A14" s="1150"/>
      <c r="B14" s="1155"/>
      <c r="C14" s="1150"/>
      <c r="D14" s="447"/>
      <c r="E14" s="160"/>
      <c r="F14" s="160"/>
      <c r="G14" s="160"/>
      <c r="H14" s="160"/>
      <c r="I14" s="160"/>
      <c r="J14" s="160"/>
      <c r="K14" s="160"/>
      <c r="L14" s="160"/>
      <c r="M14" s="160"/>
      <c r="N14" s="505"/>
      <c r="O14" s="505"/>
      <c r="P14" s="496"/>
      <c r="Q14" s="496"/>
      <c r="R14" s="496"/>
      <c r="S14" s="496"/>
      <c r="T14" s="205"/>
      <c r="U14" s="496"/>
      <c r="V14" s="204"/>
      <c r="W14" s="204"/>
      <c r="X14" s="204"/>
      <c r="Y14" s="204"/>
    </row>
    <row s="1844" customFormat="1" customHeight="1" ht="14.25">
      <c r="A15" s="1150"/>
      <c r="B15" s="1155"/>
      <c r="C15" s="1150"/>
      <c r="D15" s="447"/>
      <c r="E15" s="1150"/>
      <c r="F15" s="1150"/>
      <c r="G15" s="1150"/>
      <c r="H15" s="1150"/>
      <c r="I15" s="1150"/>
      <c r="J15" s="1150"/>
      <c r="K15" s="1150"/>
      <c r="L15" s="1150"/>
      <c r="M15" s="1150"/>
      <c r="N15" s="1150"/>
      <c r="O15" s="1150"/>
      <c r="P15" s="496"/>
      <c r="Q15" s="496"/>
      <c r="R15" s="496"/>
      <c r="S15" s="496"/>
      <c r="T15" s="205"/>
      <c r="U15" s="496"/>
      <c r="V15" s="204"/>
      <c r="W15" s="204"/>
      <c r="X15" s="204"/>
      <c r="Y15" s="204"/>
    </row>
    <row s="1844" customFormat="1" customHeight="1" ht="0.75">
      <c r="A16" s="1150"/>
      <c r="B16" s="1155"/>
      <c r="C16" s="1150"/>
      <c r="D16" s="447"/>
      <c r="E16" s="1150"/>
      <c r="F16" s="1150"/>
      <c r="G16" s="1150"/>
      <c r="H16" s="1150"/>
      <c r="I16" s="1150"/>
      <c r="J16" s="1150"/>
      <c r="K16" s="1150"/>
      <c r="L16" s="1150"/>
      <c r="M16" s="1150"/>
      <c r="N16" s="1150"/>
      <c r="O16" s="1150"/>
      <c r="P16" s="496"/>
      <c r="Q16" s="496"/>
      <c r="R16" s="496"/>
      <c r="S16" s="496"/>
      <c r="T16" s="205"/>
      <c r="U16" s="496"/>
      <c r="V16" s="204"/>
      <c r="W16" s="204"/>
      <c r="X16" s="204"/>
      <c r="Y16" s="204"/>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9FB7E8-3AAD-01A8-278F-57928B915529}"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12" style="243" width="9.140625"/>
  </cols>
  <sheetData>
    <row customHeight="1" ht="14.25" hidden="1">
      <c r="L1" s="243"/>
    </row>
    <row customHeight="1" ht="14.25" hidden="1"/>
    <row customHeight="1" ht="14.25" hidden="1"/>
    <row customHeight="1" ht="14.25" hidden="1"/>
    <row customHeight="1" ht="14.25" hidden="1"/>
    <row customHeight="1" ht="3">
      <c r="C6" s="71"/>
      <c r="D6" s="51"/>
      <c r="E6" s="51"/>
    </row>
    <row customHeight="1" ht="22.5">
      <c r="C7" s="71"/>
      <c r="D7" s="1936" t="s">
        <v>1127</v>
      </c>
      <c r="E7" s="1936"/>
      <c r="F7" s="246"/>
    </row>
    <row customHeight="1" ht="3">
      <c r="C8" s="71"/>
      <c r="D8" s="51"/>
      <c r="E8" s="51"/>
    </row>
    <row customHeight="1" ht="15.75">
      <c r="C9" s="71"/>
      <c r="D9" s="85" t="s">
        <v>87</v>
      </c>
      <c r="E9" s="88" t="s">
        <v>292</v>
      </c>
    </row>
    <row customHeight="1" ht="12">
      <c r="C10" s="71"/>
      <c r="D10" s="68" t="s">
        <v>108</v>
      </c>
      <c r="E10" s="68" t="s">
        <v>109</v>
      </c>
    </row>
    <row customHeight="1" ht="15" hidden="1">
      <c r="C11" s="71"/>
      <c r="D11" s="93">
        <v>0</v>
      </c>
      <c r="E11" s="129"/>
    </row>
    <row customHeight="1" ht="14.25">
      <c r="C12" s="71"/>
      <c r="D12" s="89"/>
      <c r="E12" s="87" t="s">
        <v>1087</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9452A1-163D-FAD4-3B03-E9ED1180486F}"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2437" width="1.7109375" customWidth="1"/>
    <col min="2" max="2" style="2437" width="34.57421875" customWidth="1"/>
    <col min="3" max="3" style="2437" width="85.57421875" customWidth="1"/>
    <col min="4" max="4" style="2437" width="17.7109375" customWidth="1"/>
    <col min="5" max="5" style="2437" width="9.140625"/>
  </cols>
  <sheetData>
    <row customHeight="1" ht="3"/>
    <row customHeight="1" ht="22.5">
      <c r="B2" s="4108" t="s">
        <v>1128</v>
      </c>
      <c r="C2" s="2325"/>
      <c r="D2" s="2325"/>
      <c r="E2" s="247"/>
    </row>
    <row customHeight="1" ht="3"/>
    <row customHeight="1" ht="21.75">
      <c r="B4" s="4109" t="s">
        <v>1129</v>
      </c>
      <c r="C4" s="380" t="s">
        <v>1130</v>
      </c>
      <c r="D4" s="380" t="s">
        <v>1131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54DFF9-25C9-3DE2-6528-136F96191302}"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2437" width="26.57421875" customWidth="1"/>
    <col min="2" max="2" style="2437" width="10.00390625" customWidth="1"/>
    <col min="3" max="3" style="2437" width="9.140625"/>
    <col min="4" max="4" style="2437" width="11.140625" customWidth="1"/>
    <col min="5" max="5" style="2437" width="16.57421875" customWidth="1"/>
    <col min="6" max="6" style="2437" width="16.28125" customWidth="1"/>
    <col min="7" max="7" style="2437" width="19.140625" customWidth="1"/>
    <col min="8" max="11" style="2437" width="10.00390625" customWidth="1"/>
    <col min="12" max="12" style="2437" width="12.7109375" customWidth="1"/>
    <col min="13" max="13" style="2437" width="61.28125" customWidth="1"/>
    <col min="14" max="14" style="2437" width="10.00390625" customWidth="1"/>
    <col min="15" max="17" style="2437" width="23.7109375" customWidth="1"/>
    <col min="18" max="18" style="2437" width="11.7109375" customWidth="1"/>
    <col min="19" max="19" style="2437" width="8.57421875" customWidth="1"/>
    <col min="20" max="20" style="2437" width="11.7109375" customWidth="1"/>
    <col min="21" max="21" style="2437" width="8.57421875" customWidth="1"/>
    <col min="22" max="22" style="2437" width="4.7109375" customWidth="1"/>
    <col min="23" max="23" style="2437" width="115.7109375" customWidth="1"/>
    <col min="24" max="24" style="2437" width="115.28125" customWidth="1"/>
    <col min="25" max="27" style="2437" width="9.140625"/>
    <col min="28" max="28" style="2437" width="115.7109375" customWidth="1"/>
    <col min="29" max="29" style="2437" width="9.140625"/>
    <col min="30" max="90" style="2437" width="115.7109375" customWidth="1"/>
    <col min="91" max="184" style="2437" width="9.140625"/>
  </cols>
  <sheetData>
    <row r="2" s="1840" customFormat="1" customHeight="1" ht="17.25">
      <c r="A2" s="1840" t="s">
        <v>1132</v>
      </c>
    </row>
    <row r="4" s="243" customFormat="1" customHeight="1" ht="15">
      <c r="C4" s="1841"/>
      <c r="D4" s="93"/>
      <c r="E4" s="371"/>
    </row>
    <row r="6" s="1840" customFormat="1" customHeight="1" ht="17.25">
      <c r="A6" s="1840" t="s">
        <v>1133</v>
      </c>
    </row>
    <row r="8" s="243" customFormat="1" customHeight="1" ht="17.25">
      <c r="C8" s="1842"/>
      <c r="D8" s="93"/>
      <c r="E8" s="94"/>
    </row>
    <row r="11" s="1840" customFormat="1" customHeight="1" ht="17.25">
      <c r="A11" s="1840" t="s">
        <v>1134</v>
      </c>
    </row>
    <row r="13" s="1844" customFormat="1" customHeight="1" ht="15">
      <c r="A13" s="2064">
        <v>1</v>
      </c>
      <c r="B13" s="1155"/>
      <c r="C13" s="795" t="s">
        <v>169</v>
      </c>
      <c r="D13" s="1843"/>
      <c r="E13" s="1830">
        <f>A13</f>
        <v>1</v>
      </c>
      <c r="F13" s="798"/>
      <c r="G13" s="536" t="str">
        <f>"Территория "&amp;E13</f>
        <v>Территория 1</v>
      </c>
      <c r="H13" s="786"/>
      <c r="I13" s="786"/>
      <c r="J13" s="783"/>
      <c r="K13" s="1649"/>
      <c r="L13" s="1649"/>
      <c r="M13" s="1649"/>
      <c r="N13" s="205"/>
      <c r="O13" s="1649"/>
      <c r="P13" s="204"/>
      <c r="Q13" s="204"/>
      <c r="R13" s="204"/>
      <c r="S13" s="204"/>
    </row>
    <row s="2437" customFormat="1" customHeight="1" ht="15">
      <c r="A14" s="2064"/>
      <c r="B14" s="1155">
        <v>1</v>
      </c>
      <c r="C14" s="1155"/>
      <c r="D14" s="794"/>
      <c r="E14" s="1838" t="str">
        <f>A13&amp;"."&amp;B14</f>
        <v>1.1</v>
      </c>
      <c r="F14" s="797">
        <f>$F$20</f>
        <v>0</v>
      </c>
      <c r="G14" s="787"/>
      <c r="H14" s="787"/>
      <c r="I14" s="785"/>
      <c r="J14" s="1649"/>
      <c r="K14" s="1661"/>
      <c r="L14" s="1661"/>
      <c r="M14" s="1649" t="str">
        <f t="array" ref="M14:M14">IF(ISERROR(MATCH(MID(N14,1,250),MID(note_ter,1,250),0)),"n","y")</f>
        <v>n</v>
      </c>
      <c r="N14" s="1661"/>
      <c r="O14" s="1649" t="str">
        <f>H14&amp;"("&amp;I14&amp;")"</f>
        <v>()</v>
      </c>
      <c r="P14" s="1155"/>
      <c r="Q14" s="1155"/>
      <c r="R14" s="417"/>
      <c r="S14" s="1155"/>
      <c r="T14" s="1155"/>
      <c r="U14" s="1155"/>
      <c r="V14" s="419"/>
      <c r="W14" s="419"/>
      <c r="X14" s="416"/>
      <c r="Y14" s="416"/>
      <c r="Z14" s="416"/>
      <c r="AA14" s="416"/>
      <c r="AB14" s="416"/>
      <c r="AC14" s="416"/>
      <c r="AD14" s="416"/>
      <c r="AE14" s="416"/>
      <c r="AF14" s="416"/>
      <c r="AG14" s="416"/>
      <c r="AH14" s="416"/>
      <c r="AI14" s="416"/>
      <c r="AJ14" s="416"/>
      <c r="AK14" s="416"/>
      <c r="AL14" s="416"/>
      <c r="AM14" s="416"/>
      <c r="AN14" s="416"/>
      <c r="AO14" s="416"/>
      <c r="AP14" s="416"/>
      <c r="AQ14" s="416"/>
      <c r="AR14" s="416"/>
      <c r="AS14" s="416"/>
      <c r="AT14" s="416"/>
      <c r="AU14" s="416"/>
      <c r="AV14" s="416"/>
      <c r="AW14" s="416"/>
      <c r="AX14" s="416"/>
      <c r="AY14" s="416"/>
      <c r="AZ14" s="416"/>
      <c r="BA14" s="416"/>
      <c r="BB14" s="416"/>
      <c r="BC14" s="416"/>
      <c r="BD14" s="416"/>
      <c r="BE14" s="416"/>
      <c r="BF14" s="416"/>
      <c r="BG14" s="416"/>
      <c r="BH14" s="416"/>
      <c r="BI14" s="416"/>
      <c r="BJ14" s="416"/>
      <c r="BK14" s="416"/>
      <c r="BL14" s="416"/>
      <c r="BM14" s="416"/>
      <c r="BN14" s="416"/>
      <c r="BO14" s="416"/>
      <c r="BP14" s="416"/>
      <c r="BQ14" s="416"/>
      <c r="BR14" s="416"/>
      <c r="BS14" s="419"/>
      <c r="BT14" s="419"/>
      <c r="BU14" s="419"/>
      <c r="BV14" s="419"/>
      <c r="BW14" s="419"/>
      <c r="BX14" s="419"/>
      <c r="BY14" s="419"/>
      <c r="BZ14" s="419"/>
      <c r="CA14" s="419"/>
      <c r="CB14" s="419"/>
    </row>
    <row s="2437" customFormat="1" customHeight="1" ht="15">
      <c r="A15" s="2064"/>
      <c r="B15" s="1155"/>
      <c r="C15" s="409"/>
      <c r="D15" s="795"/>
      <c r="E15" s="418"/>
      <c r="F15" s="157"/>
      <c r="G15" s="412" t="s">
        <v>101</v>
      </c>
      <c r="H15" s="167"/>
      <c r="I15" s="420"/>
      <c r="J15" s="1661"/>
      <c r="K15" s="1661"/>
      <c r="L15" s="1661"/>
      <c r="M15" s="1661"/>
      <c r="N15" s="1649"/>
      <c r="O15" s="1661"/>
      <c r="P15" s="1155"/>
      <c r="Q15" s="1155"/>
      <c r="R15" s="417"/>
      <c r="S15" s="1155"/>
      <c r="T15" s="1155"/>
      <c r="U15" s="1155"/>
      <c r="V15" s="419"/>
      <c r="W15" s="419"/>
      <c r="X15" s="416"/>
      <c r="Y15" s="416"/>
      <c r="Z15" s="416"/>
      <c r="AA15" s="416"/>
      <c r="AB15" s="416"/>
      <c r="AC15" s="416"/>
      <c r="AD15" s="416"/>
      <c r="AE15" s="416"/>
      <c r="AF15" s="416"/>
      <c r="AG15" s="416"/>
      <c r="AH15" s="416"/>
      <c r="AI15" s="416"/>
      <c r="AJ15" s="416"/>
      <c r="AK15" s="416"/>
      <c r="AL15" s="416"/>
      <c r="AM15" s="416"/>
      <c r="AN15" s="416"/>
      <c r="AO15" s="416"/>
      <c r="AP15" s="416"/>
      <c r="AQ15" s="416"/>
      <c r="AR15" s="416"/>
      <c r="AS15" s="416"/>
      <c r="AT15" s="416"/>
      <c r="AU15" s="416"/>
      <c r="AV15" s="416"/>
      <c r="AW15" s="416"/>
      <c r="AX15" s="416"/>
      <c r="AY15" s="416"/>
      <c r="AZ15" s="416"/>
      <c r="BA15" s="416"/>
      <c r="BB15" s="416"/>
      <c r="BC15" s="416"/>
      <c r="BD15" s="416"/>
      <c r="BE15" s="416"/>
      <c r="BF15" s="416"/>
      <c r="BG15" s="416"/>
      <c r="BH15" s="416"/>
      <c r="BI15" s="416"/>
      <c r="BJ15" s="416"/>
      <c r="BK15" s="416"/>
      <c r="BL15" s="416"/>
      <c r="BM15" s="416"/>
      <c r="BN15" s="416"/>
      <c r="BO15" s="416"/>
      <c r="BP15" s="416"/>
      <c r="BQ15" s="416"/>
      <c r="BR15" s="416"/>
      <c r="BS15" s="419"/>
      <c r="BT15" s="419"/>
      <c r="BU15" s="419"/>
      <c r="BV15" s="419"/>
      <c r="BW15" s="419"/>
      <c r="BX15" s="419"/>
      <c r="BY15" s="419"/>
      <c r="BZ15" s="419"/>
      <c r="CA15" s="419"/>
      <c r="CB15" s="419"/>
    </row>
    <row r="17" s="1840" customFormat="1" customHeight="1" ht="17.25">
      <c r="A17" s="1840" t="s">
        <v>1135</v>
      </c>
    </row>
    <row r="19" s="2437" customFormat="1" customHeight="1" ht="15">
      <c r="A19" s="1907"/>
      <c r="B19" s="1383">
        <v>1</v>
      </c>
      <c r="C19" s="1383"/>
      <c r="D19" s="794" t="s">
        <v>169</v>
      </c>
      <c r="E19" s="1903"/>
      <c r="F19" s="1908">
        <f>$F$20</f>
        <v>0</v>
      </c>
      <c r="G19" s="1912"/>
      <c r="H19" s="1912"/>
      <c r="I19" s="1910"/>
      <c r="J19" s="1649"/>
      <c r="K19" s="1661"/>
      <c r="L19" s="1661"/>
      <c r="M19" s="1649" t="str">
        <f t="array" ref="M19:M19">IF(ISERROR(MATCH(MID(N19,1,250),MID(note_ter,1,250),0)),"n","y")</f>
        <v>n</v>
      </c>
      <c r="N19" s="1661"/>
      <c r="O19" s="1649" t="str">
        <f>H19&amp;"("&amp;I19&amp;")"</f>
        <v>()</v>
      </c>
      <c r="P19" s="1383"/>
      <c r="Q19" s="1383"/>
      <c r="R19" s="417"/>
      <c r="S19" s="1383"/>
      <c r="T19" s="1383"/>
      <c r="U19" s="1383"/>
      <c r="V19" s="827"/>
      <c r="W19" s="827"/>
      <c r="X19" s="622"/>
      <c r="Y19" s="622"/>
      <c r="Z19" s="622"/>
      <c r="AA19" s="622"/>
      <c r="AB19" s="622"/>
      <c r="AC19" s="622"/>
      <c r="AD19" s="622"/>
      <c r="AE19" s="622"/>
      <c r="AF19" s="622"/>
      <c r="AG19" s="622"/>
      <c r="AH19" s="622"/>
      <c r="AI19" s="622"/>
      <c r="AJ19" s="622"/>
      <c r="AK19" s="622"/>
      <c r="AL19" s="622"/>
      <c r="AM19" s="622"/>
      <c r="AN19" s="622"/>
      <c r="AO19" s="622"/>
      <c r="AP19" s="622"/>
      <c r="AQ19" s="622"/>
      <c r="AR19" s="622"/>
      <c r="AS19" s="622"/>
      <c r="AT19" s="622"/>
      <c r="AU19" s="622"/>
      <c r="AV19" s="622"/>
      <c r="AW19" s="622"/>
      <c r="AX19" s="622"/>
      <c r="AY19" s="622"/>
      <c r="AZ19" s="622"/>
      <c r="BA19" s="622"/>
      <c r="BB19" s="622"/>
      <c r="BC19" s="622"/>
      <c r="BD19" s="622"/>
      <c r="BE19" s="622"/>
      <c r="BF19" s="622"/>
      <c r="BG19" s="622"/>
      <c r="BH19" s="622"/>
      <c r="BI19" s="622"/>
      <c r="BJ19" s="622"/>
      <c r="BK19" s="622"/>
      <c r="BL19" s="622"/>
      <c r="BM19" s="622"/>
      <c r="BN19" s="622"/>
      <c r="BO19" s="622"/>
      <c r="BP19" s="622"/>
      <c r="BQ19" s="622"/>
      <c r="BR19" s="622"/>
      <c r="BS19" s="827"/>
      <c r="BT19" s="827"/>
      <c r="BU19" s="827"/>
      <c r="BV19" s="827"/>
      <c r="BW19" s="827"/>
      <c r="BX19" s="827"/>
      <c r="BY19" s="827"/>
      <c r="BZ19" s="827"/>
      <c r="CA19" s="827"/>
      <c r="CB19" s="827"/>
    </row>
    <row r="21" s="2437" customFormat="1" customHeight="1" ht="15">
      <c r="A21" s="1840" t="s">
        <v>1136</v>
      </c>
      <c r="B21" s="1840"/>
      <c r="C21" s="1840"/>
      <c r="D21" s="1840"/>
      <c r="E21" s="1840"/>
      <c r="F21" s="1840"/>
      <c r="G21" s="1840"/>
      <c r="H21" s="1840"/>
      <c r="I21" s="1840"/>
      <c r="J21" s="1840"/>
      <c r="K21" s="1840"/>
      <c r="L21" s="1840"/>
      <c r="M21" s="1840"/>
      <c r="N21" s="1840"/>
      <c r="O21" s="1840"/>
      <c r="P21" s="1840"/>
      <c r="Q21" s="1840"/>
      <c r="R21" s="1840"/>
      <c r="S21" s="1840"/>
      <c r="T21" s="1840"/>
      <c r="U21" s="164"/>
      <c r="V21" s="1840"/>
      <c r="W21" s="1840"/>
    </row>
    <row s="2437" customFormat="1" customHeight="1" ht="15">
      <c r="U22" s="165"/>
    </row>
    <row s="1877" customFormat="1" customHeight="1" ht="15">
      <c r="A23" s="0"/>
      <c r="B23" s="0"/>
      <c r="C23" s="1752" t="s">
        <v>169</v>
      </c>
      <c r="D23" s="1964" t="s">
        <v>108</v>
      </c>
      <c r="E23" s="1965"/>
      <c r="F23" s="1963" t="s">
        <v>56</v>
      </c>
      <c r="G23" s="2376"/>
      <c r="H23" s="1953">
        <v>1</v>
      </c>
      <c r="I23" s="2378" t="str">
        <f>IF(U23="","",INDEX(TERRITORY_MR_LIST,MATCH(U23,TERRITORY_LIST_ID,0)))</f>
        <v/>
      </c>
      <c r="J23" s="1963" t="s">
        <v>56</v>
      </c>
      <c r="K23" s="826"/>
      <c r="L23" s="1807" t="s">
        <v>108</v>
      </c>
      <c r="M23" s="599"/>
      <c r="N23" s="600"/>
      <c r="O23" s="600"/>
      <c r="P23" s="600"/>
      <c r="Q23" s="600"/>
      <c r="R23" s="600"/>
      <c r="S23" s="600"/>
      <c r="T23" s="600"/>
      <c r="U23" s="601"/>
      <c r="V23" s="600"/>
      <c r="W23" s="600"/>
      <c r="X23" s="591"/>
      <c r="Y23" s="591" t="s">
        <v>117</v>
      </c>
      <c r="Z23" s="591">
        <v>1705000</v>
      </c>
      <c r="AA23" s="591"/>
      <c r="AB23" s="591"/>
      <c r="AC23" s="591"/>
      <c r="AD23" s="591"/>
      <c r="AE23" s="591"/>
      <c r="AF23" s="591"/>
      <c r="AG23" s="591"/>
      <c r="AH23" s="591"/>
      <c r="AI23" s="591"/>
      <c r="AJ23" s="591"/>
      <c r="AK23" s="591"/>
      <c r="AL23" s="591"/>
    </row>
    <row s="1877" customFormat="1" customHeight="1" ht="15">
      <c r="A24" s="0"/>
      <c r="B24" s="0"/>
      <c r="C24" s="156"/>
      <c r="D24" s="1964"/>
      <c r="E24" s="1966"/>
      <c r="F24" s="1963"/>
      <c r="G24" s="2377"/>
      <c r="H24" s="1953"/>
      <c r="I24" s="2379"/>
      <c r="J24" s="1963"/>
      <c r="K24" s="418"/>
      <c r="L24" s="157"/>
      <c r="M24" s="603" t="s">
        <v>118</v>
      </c>
      <c r="N24" s="600"/>
      <c r="O24" s="600"/>
      <c r="P24" s="600"/>
      <c r="Q24" s="600"/>
      <c r="R24" s="600"/>
      <c r="S24" s="600"/>
      <c r="T24" s="600"/>
      <c r="U24" s="601"/>
      <c r="V24" s="600"/>
      <c r="W24" s="600"/>
      <c r="X24" s="591"/>
      <c r="Y24" s="591"/>
      <c r="Z24" s="591"/>
      <c r="AA24" s="591"/>
      <c r="AB24" s="591"/>
      <c r="AC24" s="591"/>
      <c r="AD24" s="591"/>
      <c r="AE24" s="591"/>
      <c r="AF24" s="591"/>
      <c r="AG24" s="591"/>
      <c r="AH24" s="591"/>
      <c r="AI24" s="591"/>
      <c r="AJ24" s="591"/>
      <c r="AK24" s="591"/>
      <c r="AL24" s="591"/>
    </row>
    <row s="1877" customFormat="1" customHeight="1" ht="15">
      <c r="A25" s="0"/>
      <c r="B25" s="0"/>
      <c r="C25" s="156"/>
      <c r="D25" s="1964"/>
      <c r="E25" s="1967"/>
      <c r="F25" s="1963"/>
      <c r="G25" s="418"/>
      <c r="H25" s="157"/>
      <c r="I25" s="576" t="s">
        <v>119</v>
      </c>
      <c r="J25" s="157"/>
      <c r="K25" s="157"/>
      <c r="L25" s="157"/>
      <c r="M25" s="604"/>
      <c r="N25" s="600"/>
      <c r="O25" s="600"/>
      <c r="P25" s="600"/>
      <c r="Q25" s="600"/>
      <c r="R25" s="600"/>
      <c r="S25" s="600"/>
      <c r="T25" s="600"/>
      <c r="U25" s="601"/>
      <c r="V25" s="600"/>
      <c r="W25" s="600"/>
      <c r="X25" s="591"/>
      <c r="Y25" s="591"/>
      <c r="Z25" s="591"/>
      <c r="AA25" s="591"/>
      <c r="AB25" s="591"/>
      <c r="AC25" s="591"/>
      <c r="AD25" s="591"/>
      <c r="AE25" s="591"/>
      <c r="AF25" s="591"/>
      <c r="AG25" s="591"/>
      <c r="AH25" s="591"/>
      <c r="AI25" s="591"/>
      <c r="AJ25" s="591"/>
      <c r="AK25" s="591"/>
      <c r="AL25" s="591"/>
    </row>
    <row s="2437" customFormat="1" customHeight="1" ht="15">
      <c r="U26" s="165"/>
    </row>
    <row s="2437" customFormat="1" customHeight="1" ht="15">
      <c r="A27" s="1840" t="s">
        <v>1137</v>
      </c>
      <c r="B27" s="1840"/>
      <c r="C27" s="1840"/>
      <c r="D27" s="1840"/>
      <c r="E27" s="1840"/>
      <c r="F27" s="1840"/>
      <c r="G27" s="1840"/>
      <c r="H27" s="1840"/>
      <c r="I27" s="1840"/>
      <c r="J27" s="1840"/>
      <c r="K27" s="1840"/>
      <c r="L27" s="1840"/>
      <c r="M27" s="1840"/>
      <c r="N27" s="1840"/>
      <c r="O27" s="1840"/>
      <c r="P27" s="1840"/>
      <c r="Q27" s="1840"/>
      <c r="R27" s="1840"/>
      <c r="S27" s="1840"/>
      <c r="T27" s="1840"/>
      <c r="U27" s="164"/>
      <c r="V27" s="1840"/>
      <c r="W27" s="1840"/>
    </row>
    <row s="2437" customFormat="1" customHeight="1" ht="15">
      <c r="U28" s="165"/>
    </row>
    <row s="1877" customFormat="1" customHeight="1" ht="15">
      <c r="A29" s="0"/>
      <c r="B29" s="0"/>
      <c r="C29" s="156"/>
      <c r="D29" s="1846"/>
      <c r="E29" s="1846"/>
      <c r="F29" s="1846"/>
      <c r="G29" s="2380" t="s">
        <v>169</v>
      </c>
      <c r="H29" s="1939">
        <v>1</v>
      </c>
      <c r="I29" s="2381" t="str">
        <f>IF(U29="","",INDEX(TERRITORY_MR_LIST,MATCH(U29,TERRITORY_LIST_ID,0)))</f>
        <v/>
      </c>
      <c r="J29" s="1963" t="s">
        <v>56</v>
      </c>
      <c r="K29" s="826"/>
      <c r="L29" s="1807" t="s">
        <v>108</v>
      </c>
      <c r="M29" s="599"/>
      <c r="N29" s="600"/>
      <c r="O29" s="600"/>
      <c r="P29" s="600"/>
      <c r="Q29" s="600"/>
      <c r="R29" s="600"/>
      <c r="S29" s="600"/>
      <c r="T29" s="600"/>
      <c r="U29" s="601"/>
      <c r="V29" s="600"/>
      <c r="W29" s="600"/>
      <c r="X29" s="591"/>
      <c r="Y29" s="591" t="s">
        <v>117</v>
      </c>
      <c r="Z29" s="591">
        <v>1705000</v>
      </c>
      <c r="AA29" s="591"/>
      <c r="AB29" s="591"/>
      <c r="AC29" s="591"/>
      <c r="AD29" s="591"/>
      <c r="AE29" s="591"/>
      <c r="AF29" s="591"/>
      <c r="AG29" s="591"/>
      <c r="AH29" s="591"/>
      <c r="AI29" s="591"/>
      <c r="AJ29" s="591"/>
      <c r="AK29" s="591"/>
      <c r="AL29" s="591"/>
    </row>
    <row s="1877" customFormat="1" customHeight="1" ht="15">
      <c r="A30" s="0"/>
      <c r="B30" s="0"/>
      <c r="C30" s="156"/>
      <c r="D30" s="1846"/>
      <c r="E30" s="1846"/>
      <c r="F30" s="1846"/>
      <c r="G30" s="2380"/>
      <c r="H30" s="1939"/>
      <c r="I30" s="2381"/>
      <c r="J30" s="1963"/>
      <c r="K30" s="418"/>
      <c r="L30" s="157"/>
      <c r="M30" s="603" t="s">
        <v>118</v>
      </c>
      <c r="N30" s="600"/>
      <c r="O30" s="600"/>
      <c r="P30" s="600"/>
      <c r="Q30" s="600"/>
      <c r="R30" s="600"/>
      <c r="S30" s="600"/>
      <c r="T30" s="600"/>
      <c r="U30" s="601"/>
      <c r="V30" s="600"/>
      <c r="W30" s="600"/>
      <c r="X30" s="591"/>
      <c r="Y30" s="591"/>
      <c r="Z30" s="591"/>
      <c r="AA30" s="591"/>
      <c r="AB30" s="591"/>
      <c r="AC30" s="591"/>
      <c r="AD30" s="591"/>
      <c r="AE30" s="591"/>
      <c r="AF30" s="591"/>
      <c r="AG30" s="591"/>
      <c r="AH30" s="591"/>
      <c r="AI30" s="591"/>
      <c r="AJ30" s="591"/>
      <c r="AK30" s="591"/>
      <c r="AL30" s="591"/>
    </row>
    <row s="2437" customFormat="1" customHeight="1" ht="15">
      <c r="U31" s="165"/>
    </row>
    <row s="2437" customFormat="1" customHeight="1" ht="15">
      <c r="A32" s="1840" t="s">
        <v>1138</v>
      </c>
      <c r="B32" s="1840"/>
      <c r="C32" s="1840"/>
      <c r="D32" s="1840"/>
      <c r="E32" s="1840"/>
      <c r="F32" s="1840"/>
      <c r="G32" s="1840"/>
      <c r="H32" s="1840"/>
      <c r="I32" s="1840"/>
      <c r="J32" s="1840"/>
      <c r="K32" s="1840"/>
      <c r="L32" s="1840"/>
      <c r="M32" s="1840"/>
      <c r="N32" s="1840"/>
      <c r="O32" s="1840"/>
      <c r="P32" s="1840"/>
      <c r="Q32" s="1840"/>
      <c r="R32" s="1840"/>
      <c r="S32" s="1840"/>
      <c r="T32" s="1840"/>
      <c r="U32" s="164"/>
      <c r="V32" s="1840"/>
      <c r="W32" s="1840"/>
    </row>
    <row s="2437" customFormat="1" customHeight="1" ht="15">
      <c r="U33" s="165"/>
    </row>
    <row s="1877" customFormat="1" customHeight="1" ht="15">
      <c r="A34" s="0"/>
      <c r="B34" s="0"/>
      <c r="C34" s="156"/>
      <c r="D34" s="1846"/>
      <c r="E34" s="1846"/>
      <c r="F34" s="1846"/>
      <c r="G34" s="1846"/>
      <c r="H34" s="1846"/>
      <c r="I34" s="1846"/>
      <c r="J34" s="1846"/>
      <c r="K34" s="1824" t="s">
        <v>169</v>
      </c>
      <c r="L34" s="1753" t="s">
        <v>108</v>
      </c>
      <c r="M34" s="805"/>
      <c r="N34" s="806"/>
      <c r="O34" s="600"/>
      <c r="P34" s="600"/>
      <c r="Q34" s="600"/>
      <c r="R34" s="600"/>
      <c r="S34" s="600"/>
      <c r="T34" s="600"/>
      <c r="U34" s="601"/>
      <c r="V34" s="600"/>
      <c r="W34" s="600"/>
      <c r="X34" s="591"/>
      <c r="Y34" s="591" t="s">
        <v>117</v>
      </c>
      <c r="Z34" s="591">
        <v>1705000</v>
      </c>
      <c r="AA34" s="591"/>
      <c r="AB34" s="591"/>
      <c r="AC34" s="591"/>
      <c r="AD34" s="591"/>
      <c r="AE34" s="591"/>
      <c r="AF34" s="591"/>
      <c r="AG34" s="591"/>
      <c r="AH34" s="591"/>
      <c r="AI34" s="591"/>
      <c r="AJ34" s="591"/>
      <c r="AK34" s="591"/>
      <c r="AL34" s="591"/>
    </row>
    <row s="2437" customFormat="1" customHeight="1" ht="15">
      <c r="U35" s="165"/>
    </row>
    <row s="2437" customFormat="1" customHeight="1" ht="15">
      <c r="U36" s="165"/>
    </row>
    <row s="1840" customFormat="1" customHeight="1" ht="11.25">
      <c r="A37" s="1840" t="s">
        <v>1139</v>
      </c>
    </row>
    <row customHeight="1" ht="11.25"/>
    <row s="451" customFormat="1" customHeight="1" ht="22.5">
      <c r="A39" s="1816"/>
      <c r="B39" s="453"/>
      <c r="C39" s="853"/>
      <c r="D39" s="436"/>
      <c r="E39" s="854"/>
      <c r="F39" s="1837"/>
      <c r="G39" s="1847"/>
      <c r="H39" s="471"/>
    </row>
    <row customHeight="1" ht="11.25"/>
    <row s="1840" customFormat="1" customHeight="1" ht="11.25">
      <c r="A41" s="1840" t="s">
        <v>1140</v>
      </c>
    </row>
    <row customHeight="1" ht="11.25"/>
    <row s="451" customFormat="1" customHeight="1" ht="22.5">
      <c r="A43" s="453"/>
      <c r="B43" s="453"/>
      <c r="C43" s="453"/>
      <c r="D43" s="436"/>
      <c r="E43" s="854"/>
      <c r="F43" s="855"/>
      <c r="G43" s="1847"/>
      <c r="H43" s="471"/>
    </row>
    <row r="46" s="1840" customFormat="1" customHeight="1" ht="17.25">
      <c r="A46" s="1840" t="s">
        <v>1141</v>
      </c>
    </row>
    <row r="48" s="1637" customFormat="1" customHeight="1" ht="18.75">
      <c r="A48" s="0"/>
      <c r="B48" s="1848"/>
      <c r="C48" s="1848"/>
      <c r="D48" s="1849"/>
      <c r="E48" s="1834"/>
      <c r="F48" s="862">
        <v>13</v>
      </c>
      <c r="G48" s="861"/>
      <c r="H48" s="787"/>
      <c r="I48" s="785"/>
      <c r="J48" s="516" t="s">
        <v>66</v>
      </c>
      <c r="K48" s="1850" t="s">
        <v>24</v>
      </c>
      <c r="L48" s="0"/>
      <c r="M48" s="1661"/>
      <c r="N48" s="1661"/>
      <c r="O48" s="1661"/>
      <c r="P48" s="512" t="s">
        <v>399</v>
      </c>
      <c r="Q48" s="512" t="s">
        <v>400</v>
      </c>
      <c r="R48" s="513" t="s">
        <v>401</v>
      </c>
      <c r="S48" s="1661" t="s">
        <v>402</v>
      </c>
      <c r="T48" s="1661"/>
      <c r="U48" s="1661"/>
      <c r="V48" s="1661"/>
    </row>
    <row r="50" s="1840" customFormat="1" customHeight="1" ht="11.25">
      <c r="A50" s="1840" t="s">
        <v>1142</v>
      </c>
    </row>
    <row r="52" s="1660" customFormat="1" customHeight="1" ht="14.25">
      <c r="C52" s="1713"/>
      <c r="D52" s="1894"/>
      <c r="E52" s="1802" t="s">
        <v>24</v>
      </c>
      <c r="F52" s="1893"/>
      <c r="G52" s="850"/>
      <c r="H52" s="1803"/>
      <c r="I52" s="1803"/>
      <c r="J52" s="429"/>
      <c r="K52" s="1888"/>
      <c r="L52" s="428"/>
      <c r="M52" s="1888"/>
      <c r="N52" s="429"/>
      <c r="O52" s="1888"/>
      <c r="P52" s="429"/>
      <c r="Q52" s="1888"/>
      <c r="R52" s="429"/>
      <c r="S52" s="848"/>
      <c r="T52" s="1803"/>
      <c r="U52" s="429"/>
      <c r="V52" s="429"/>
      <c r="W52" s="1892"/>
      <c r="X52" s="1803"/>
      <c r="Y52" s="429"/>
      <c r="Z52" s="429"/>
      <c r="AA52" s="1892"/>
      <c r="AB52" s="1803"/>
      <c r="AC52" s="429"/>
      <c r="AD52" s="1892"/>
      <c r="AE52" s="0"/>
      <c r="AF52" s="0"/>
      <c r="AG52" s="0"/>
      <c r="AH52" s="0"/>
      <c r="AJ52" s="1661"/>
      <c r="AK52" s="1661"/>
      <c r="AL52" s="1661"/>
      <c r="AM52" s="1661"/>
      <c r="AN52" s="1661"/>
      <c r="AO52" s="1661"/>
      <c r="AP52" s="1649" t="s">
        <v>388</v>
      </c>
      <c r="AQ52" s="1649" t="s">
        <v>388</v>
      </c>
      <c r="AR52" s="1661"/>
      <c r="AS52" s="1661"/>
    </row>
    <row r="54" s="1840" customFormat="1" customHeight="1" ht="11.25">
      <c r="A54" s="1840" t="s">
        <v>1143</v>
      </c>
    </row>
    <row r="56" s="1848" customFormat="1" customHeight="1" ht="15">
      <c r="A56" s="125" t="s">
        <v>89</v>
      </c>
      <c r="B56" s="105" t="s">
        <v>24</v>
      </c>
      <c r="C56" s="1851"/>
      <c r="D56" s="108"/>
      <c r="E56" s="378"/>
      <c r="F56" s="378"/>
      <c r="G56" s="1828"/>
      <c r="H56" s="1850"/>
      <c r="I56" s="1829"/>
      <c r="K56" s="251"/>
      <c r="L56" s="252"/>
    </row>
    <row r="58" s="1840" customFormat="1" customHeight="1" ht="11.25">
      <c r="A58" s="1840" t="s">
        <v>1144</v>
      </c>
    </row>
    <row r="60" s="1660" customFormat="1" customHeight="1" ht="14.25">
      <c r="A60" s="331"/>
      <c r="B60" s="1155"/>
      <c r="C60" s="368"/>
      <c r="D60" s="1835"/>
      <c r="E60" s="880"/>
      <c r="F60" s="1850"/>
      <c r="G60" s="0"/>
      <c r="I60" s="1649"/>
      <c r="J60" s="1649"/>
    </row>
    <row r="62" s="1840" customFormat="1" customHeight="1" ht="11.25">
      <c r="A62" s="1840" t="s">
        <v>1145</v>
      </c>
    </row>
    <row r="64" s="1660" customFormat="1" customHeight="1" ht="27">
      <c r="A64" s="1161"/>
      <c r="B64" s="1161"/>
      <c r="C64" s="1161"/>
      <c r="D64" s="1155"/>
      <c r="E64" s="1852"/>
      <c r="F64" s="2326"/>
      <c r="G64" s="2327"/>
      <c r="H64" s="2328" t="s">
        <v>66</v>
      </c>
      <c r="I64" s="2330"/>
      <c r="J64" s="2332"/>
      <c r="K64" s="2334"/>
      <c r="L64" s="2337"/>
      <c r="M64" s="2337"/>
      <c r="N64" s="2384"/>
      <c r="O64" s="2384"/>
      <c r="P64" s="2385">
        <f>DATEDIF(DATEVALUE(N64),DATEVALUE(O64),"y")&amp;"г. "&amp;DATEDIF(DATEVALUE(N64),DATEVALUE(O64),"ym")&amp;"мес. "&amp;DATEVALUE(O64)-DATE(YEAR(DATEVALUE(O64)),MONTH(DATEVALUE(O64)),1)&amp;"дн. "</f>
      </c>
      <c r="Q64" s="2339"/>
      <c r="R64" s="2339"/>
      <c r="S64" s="2339"/>
      <c r="T64" s="2332"/>
      <c r="U64" s="2339"/>
      <c r="V64" s="2339"/>
      <c r="W64" s="2339"/>
      <c r="X64" s="2332"/>
      <c r="Y64" s="2382" t="s">
        <v>66</v>
      </c>
      <c r="Z64" s="1833"/>
      <c r="AA64" s="1817">
        <v>1</v>
      </c>
      <c r="AB64" s="1247"/>
      <c r="AD64" s="1661" t="s">
        <v>1146</v>
      </c>
    </row>
    <row s="1660" customFormat="1" customHeight="1" ht="10.5">
      <c r="A65" s="1161"/>
      <c r="B65" s="1161"/>
      <c r="C65" s="1161"/>
      <c r="D65" s="1155"/>
      <c r="E65" s="942"/>
      <c r="F65" s="2326"/>
      <c r="G65" s="2327"/>
      <c r="H65" s="2329"/>
      <c r="I65" s="2331"/>
      <c r="J65" s="2333"/>
      <c r="K65" s="2334"/>
      <c r="L65" s="2337"/>
      <c r="M65" s="2337"/>
      <c r="N65" s="2384"/>
      <c r="O65" s="2384"/>
      <c r="P65" s="2385"/>
      <c r="Q65" s="2339"/>
      <c r="R65" s="2339"/>
      <c r="S65" s="2339"/>
      <c r="T65" s="2333"/>
      <c r="U65" s="2339"/>
      <c r="V65" s="2339"/>
      <c r="W65" s="2339"/>
      <c r="X65" s="2333"/>
      <c r="Y65" s="2383"/>
      <c r="Z65" s="335"/>
      <c r="AA65" s="568"/>
      <c r="AB65" s="647" t="s">
        <v>1147</v>
      </c>
    </row>
    <row r="67" s="1840" customFormat="1" customHeight="1" ht="11.25">
      <c r="A67" s="1840" t="s">
        <v>1148</v>
      </c>
    </row>
    <row r="69" s="1660" customFormat="1" customHeight="1" ht="27">
      <c r="A69" s="1161"/>
      <c r="B69" s="1161"/>
      <c r="C69" s="1161"/>
      <c r="D69" s="1155"/>
      <c r="E69" s="1852"/>
      <c r="F69" s="1822"/>
      <c r="G69" s="1771"/>
      <c r="H69" s="1772"/>
      <c r="I69" s="1773"/>
      <c r="J69" s="1774"/>
      <c r="K69" s="1775"/>
      <c r="L69" s="1776"/>
      <c r="M69" s="1776"/>
      <c r="N69" s="1777"/>
      <c r="O69" s="1777"/>
      <c r="P69" s="1778"/>
      <c r="Q69" s="1779"/>
      <c r="R69" s="1779"/>
      <c r="S69" s="1779"/>
      <c r="T69" s="1774"/>
      <c r="U69" s="1779"/>
      <c r="V69" s="1779"/>
      <c r="W69" s="1779"/>
      <c r="X69" s="1774"/>
      <c r="Y69" s="1772"/>
      <c r="Z69" s="1833"/>
      <c r="AA69" s="1817">
        <v>1</v>
      </c>
      <c r="AB69" s="1247"/>
      <c r="AD69" s="1661" t="s">
        <v>1146</v>
      </c>
    </row>
    <row r="71" s="1840" customFormat="1" customHeight="1" ht="11.25">
      <c r="A71" s="1840" t="s">
        <v>1149</v>
      </c>
    </row>
    <row customHeight="1" ht="17.25"/>
    <row s="1660" customFormat="1" customHeight="1" ht="21">
      <c r="A73" s="1162"/>
      <c r="B73" s="1161"/>
      <c r="C73" s="1161"/>
      <c r="D73" s="1155"/>
      <c r="E73" s="1165"/>
      <c r="F73" s="1117">
        <f>INDEX(IP_MAIN_LIST_NAME_IP,MATCH(A73,IP_MAIN_LIST_IP_ID,0))&amp;" ("&amp;INDEX(IP_MAIN_START_DATE,MATCH(A73,IP_MAIN_LIST_IP_ID,0))&amp;"-"&amp;INDEX(IP_MAIN_END_DATE,MATCH(A73,IP_MAIN_LIST_IP_ID,0))&amp;")"</f>
      </c>
      <c r="G73" s="1118"/>
      <c r="H73" s="1118"/>
      <c r="I73" s="1182"/>
      <c r="J73" s="1182"/>
      <c r="K73" s="1183"/>
      <c r="L73" s="1183"/>
      <c r="M73" s="1183"/>
      <c r="N73" s="1184"/>
      <c r="O73" s="1184"/>
      <c r="P73" s="1184"/>
      <c r="Q73" s="1184"/>
      <c r="R73" s="1184"/>
      <c r="S73" s="1184"/>
      <c r="T73" s="1184"/>
      <c r="U73" s="1184"/>
      <c r="V73" s="1184"/>
      <c r="W73" s="1184"/>
      <c r="X73" s="1184"/>
      <c r="Y73" s="1184"/>
      <c r="Z73" s="1184"/>
      <c r="AA73" s="1184"/>
      <c r="AB73" s="1184"/>
      <c r="AC73" s="1184"/>
      <c r="AD73" s="1184"/>
      <c r="AE73" s="1185"/>
      <c r="AF73" s="1183"/>
      <c r="AG73" s="1183"/>
      <c r="AH73" s="1183"/>
      <c r="AI73" s="1183"/>
      <c r="AJ73" s="1183"/>
      <c r="AK73" s="1183"/>
      <c r="AL73" s="1166"/>
      <c r="AM73" s="1848"/>
      <c r="AN73" s="1848"/>
      <c r="AO73" s="1848"/>
      <c r="AP73" s="1848"/>
      <c r="AQ73" s="1848"/>
      <c r="AR73" s="1848"/>
      <c r="AS73" s="1848"/>
      <c r="AT73" s="1848"/>
      <c r="AU73" s="1848"/>
      <c r="AV73" s="1848"/>
      <c r="AW73" s="1848"/>
      <c r="AX73" s="1848"/>
      <c r="AY73" s="1848"/>
      <c r="AZ73" s="1848"/>
      <c r="BA73" s="1848"/>
      <c r="BB73" s="1848"/>
      <c r="BC73" s="1848"/>
      <c r="BD73" s="1848"/>
      <c r="BE73" s="1848"/>
      <c r="BF73" s="1848"/>
    </row>
    <row s="1660" customFormat="1" customHeight="1" ht="11.25">
      <c r="A74" s="1161"/>
      <c r="B74" s="1161"/>
      <c r="C74" s="1161"/>
      <c r="D74" s="1155"/>
      <c r="E74" s="1165"/>
      <c r="F74" s="2388"/>
      <c r="G74" s="2338"/>
      <c r="H74" s="2338" t="s">
        <v>108</v>
      </c>
      <c r="I74" s="2392"/>
      <c r="J74" s="2316"/>
      <c r="K74" s="2393"/>
      <c r="L74" s="2386" t="s">
        <v>56</v>
      </c>
      <c r="M74" s="1964"/>
      <c r="N74" s="1174"/>
      <c r="O74" s="1173" t="s">
        <v>383</v>
      </c>
      <c r="P74" s="1174"/>
      <c r="Q74" s="1174"/>
      <c r="R74" s="1174"/>
      <c r="S74" s="1174"/>
      <c r="T74" s="1174"/>
      <c r="U74" s="1174"/>
      <c r="V74" s="1174"/>
      <c r="W74" s="1174"/>
      <c r="X74" s="1174"/>
      <c r="Y74" s="1174"/>
      <c r="Z74" s="1174"/>
      <c r="AA74" s="1174"/>
      <c r="AB74" s="1174"/>
      <c r="AC74" s="1174"/>
      <c r="AD74" s="1174"/>
      <c r="AE74" s="1174"/>
      <c r="AF74" s="2390"/>
      <c r="AG74" s="2386"/>
      <c r="AH74" s="2386"/>
      <c r="AI74" s="2390"/>
      <c r="AJ74" s="2386"/>
      <c r="AK74" s="2386"/>
      <c r="AL74" s="1168"/>
      <c r="AM74" s="1848"/>
      <c r="AN74" s="1848"/>
      <c r="AO74" s="1848"/>
      <c r="AP74" s="1848"/>
      <c r="AQ74" s="1848"/>
      <c r="AR74" s="1848"/>
      <c r="AS74" s="1848"/>
      <c r="AT74" s="1848"/>
      <c r="AU74" s="1848"/>
      <c r="AV74" s="1848"/>
      <c r="AW74" s="1848"/>
      <c r="AX74" s="1848"/>
      <c r="AY74" s="1848"/>
      <c r="AZ74" s="1848"/>
      <c r="BA74" s="1848"/>
      <c r="BB74" s="1848"/>
      <c r="BC74" s="1848"/>
      <c r="BD74" s="1848"/>
      <c r="BE74" s="1848"/>
      <c r="BF74" s="1848"/>
    </row>
    <row s="1660" customFormat="1" customHeight="1" ht="11.25">
      <c r="A75" s="1161"/>
      <c r="B75" s="1161"/>
      <c r="C75" s="1161"/>
      <c r="D75" s="1155"/>
      <c r="E75" s="1165"/>
      <c r="F75" s="2388"/>
      <c r="G75" s="2338"/>
      <c r="H75" s="2338"/>
      <c r="I75" s="2392"/>
      <c r="J75" s="2316"/>
      <c r="K75" s="2393"/>
      <c r="L75" s="2386"/>
      <c r="M75" s="1964"/>
      <c r="N75" s="2394"/>
      <c r="O75" s="2351">
        <v>1</v>
      </c>
      <c r="P75" s="2346" t="s">
        <v>56</v>
      </c>
      <c r="Q75" s="2349" t="s">
        <v>24</v>
      </c>
      <c r="R75" s="2349" t="s">
        <v>24</v>
      </c>
      <c r="S75" s="2349" t="s">
        <v>24</v>
      </c>
      <c r="T75" s="2349" t="s">
        <v>24</v>
      </c>
      <c r="U75" s="2349" t="s">
        <v>24</v>
      </c>
      <c r="V75" s="2349" t="s">
        <v>24</v>
      </c>
      <c r="W75" s="2349" t="s">
        <v>24</v>
      </c>
      <c r="X75" s="2349" t="s">
        <v>24</v>
      </c>
      <c r="Y75" s="2349"/>
      <c r="Z75" s="1171"/>
      <c r="AA75" s="1172"/>
      <c r="AB75" s="1172"/>
      <c r="AC75" s="1176"/>
      <c r="AD75" s="1176"/>
      <c r="AE75" s="1177"/>
      <c r="AF75" s="2390"/>
      <c r="AG75" s="2386"/>
      <c r="AH75" s="2386"/>
      <c r="AI75" s="2390"/>
      <c r="AJ75" s="2386"/>
      <c r="AK75" s="2386"/>
      <c r="AL75" s="1168"/>
      <c r="AM75" s="1848"/>
      <c r="AN75" s="1848"/>
      <c r="AO75" s="1848"/>
      <c r="AP75" s="1848"/>
      <c r="AQ75" s="1848"/>
      <c r="AR75" s="1848"/>
      <c r="AS75" s="1848"/>
      <c r="AT75" s="1848"/>
      <c r="AU75" s="1848"/>
      <c r="AV75" s="1848"/>
      <c r="AW75" s="1848"/>
      <c r="AX75" s="1848"/>
      <c r="AY75" s="1848"/>
      <c r="AZ75" s="1848"/>
      <c r="BA75" s="1848"/>
      <c r="BB75" s="1848"/>
      <c r="BC75" s="1848"/>
      <c r="BD75" s="1848"/>
      <c r="BE75" s="1848"/>
      <c r="BF75" s="1848"/>
    </row>
    <row s="1660" customFormat="1" customHeight="1" ht="11.25">
      <c r="A76" s="1161"/>
      <c r="B76" s="1161"/>
      <c r="C76" s="1161"/>
      <c r="D76" s="1155"/>
      <c r="E76" s="1165"/>
      <c r="F76" s="2388"/>
      <c r="G76" s="2338"/>
      <c r="H76" s="2338"/>
      <c r="I76" s="2392"/>
      <c r="J76" s="2316"/>
      <c r="K76" s="2393"/>
      <c r="L76" s="2386"/>
      <c r="M76" s="1964"/>
      <c r="N76" s="2394"/>
      <c r="O76" s="2351"/>
      <c r="P76" s="2347"/>
      <c r="Q76" s="2349"/>
      <c r="R76" s="2349"/>
      <c r="S76" s="2391"/>
      <c r="T76" s="2349"/>
      <c r="U76" s="2349"/>
      <c r="V76" s="2349"/>
      <c r="W76" s="2349"/>
      <c r="X76" s="2349"/>
      <c r="Y76" s="2349"/>
      <c r="Z76" s="1853"/>
      <c r="AA76" s="1819">
        <v>1</v>
      </c>
      <c r="AB76" s="1175"/>
      <c r="AC76" s="1164"/>
      <c r="AD76" s="1175">
        <f>AB76</f>
        <v>0</v>
      </c>
      <c r="AE76" s="1164"/>
      <c r="AF76" s="2390"/>
      <c r="AG76" s="2386"/>
      <c r="AH76" s="2386"/>
      <c r="AI76" s="2390"/>
      <c r="AJ76" s="2386"/>
      <c r="AK76" s="2386"/>
      <c r="AL76" s="1168"/>
      <c r="AM76" s="1848"/>
      <c r="AN76" s="1848"/>
      <c r="AO76" s="1848"/>
      <c r="AP76" s="1848"/>
      <c r="AQ76" s="1848"/>
      <c r="AR76" s="1848"/>
      <c r="AS76" s="1848"/>
      <c r="AT76" s="1848"/>
      <c r="AU76" s="1848"/>
      <c r="AV76" s="1848"/>
      <c r="AW76" s="1848"/>
      <c r="AX76" s="1848"/>
      <c r="AY76" s="1848"/>
      <c r="AZ76" s="1848"/>
      <c r="BA76" s="1848"/>
      <c r="BB76" s="1848"/>
      <c r="BC76" s="1848"/>
      <c r="BD76" s="1848"/>
      <c r="BE76" s="1848"/>
      <c r="BF76" s="1848"/>
    </row>
    <row s="1660" customFormat="1" customHeight="1" ht="11.25">
      <c r="A77" s="1161"/>
      <c r="B77" s="1161"/>
      <c r="C77" s="1161"/>
      <c r="D77" s="1155"/>
      <c r="E77" s="1165"/>
      <c r="F77" s="2388"/>
      <c r="G77" s="2338"/>
      <c r="H77" s="2338"/>
      <c r="I77" s="2392"/>
      <c r="J77" s="2316"/>
      <c r="K77" s="2393"/>
      <c r="L77" s="2386"/>
      <c r="M77" s="1964"/>
      <c r="N77" s="2394"/>
      <c r="O77" s="2351"/>
      <c r="P77" s="2348"/>
      <c r="Q77" s="2349"/>
      <c r="R77" s="2349"/>
      <c r="S77" s="2391"/>
      <c r="T77" s="2349"/>
      <c r="U77" s="2349"/>
      <c r="V77" s="2349"/>
      <c r="W77" s="2349"/>
      <c r="X77" s="2349"/>
      <c r="Y77" s="2349"/>
      <c r="Z77" s="1171"/>
      <c r="AA77" s="1172"/>
      <c r="AB77" s="1246" t="s">
        <v>1150</v>
      </c>
      <c r="AC77" s="1176"/>
      <c r="AD77" s="1176"/>
      <c r="AE77" s="1178"/>
      <c r="AF77" s="2390"/>
      <c r="AG77" s="2386"/>
      <c r="AH77" s="2386"/>
      <c r="AI77" s="2390"/>
      <c r="AJ77" s="2386"/>
      <c r="AK77" s="2386"/>
      <c r="AL77" s="1168"/>
      <c r="AM77" s="1848"/>
      <c r="AN77" s="1848"/>
      <c r="AO77" s="1848"/>
      <c r="AP77" s="1848"/>
      <c r="AQ77" s="1848"/>
      <c r="AR77" s="1848"/>
      <c r="AS77" s="1848"/>
      <c r="AT77" s="1848"/>
      <c r="AU77" s="1848"/>
      <c r="AV77" s="1848"/>
      <c r="AW77" s="1848"/>
      <c r="AX77" s="1848"/>
      <c r="AY77" s="1848"/>
      <c r="AZ77" s="1848"/>
      <c r="BA77" s="1848"/>
      <c r="BB77" s="1848"/>
      <c r="BC77" s="1848"/>
      <c r="BD77" s="1848"/>
      <c r="BE77" s="1848"/>
      <c r="BF77" s="1848"/>
    </row>
    <row s="1660" customFormat="1" customHeight="1" ht="11.25">
      <c r="A78" s="1161"/>
      <c r="B78" s="1161"/>
      <c r="C78" s="1161"/>
      <c r="D78" s="1155"/>
      <c r="E78" s="1165"/>
      <c r="F78" s="2388"/>
      <c r="G78" s="2338"/>
      <c r="H78" s="2338"/>
      <c r="I78" s="2392"/>
      <c r="J78" s="2316"/>
      <c r="K78" s="2393"/>
      <c r="L78" s="2386"/>
      <c r="M78" s="1964"/>
      <c r="N78" s="1172"/>
      <c r="O78" s="1172"/>
      <c r="P78" s="1163" t="s">
        <v>1151</v>
      </c>
      <c r="Q78" s="1172"/>
      <c r="R78" s="1172"/>
      <c r="S78" s="1172"/>
      <c r="T78" s="1172"/>
      <c r="U78" s="1172"/>
      <c r="V78" s="1172"/>
      <c r="W78" s="1172"/>
      <c r="X78" s="1172"/>
      <c r="Y78" s="1172"/>
      <c r="Z78" s="1172"/>
      <c r="AA78" s="1172"/>
      <c r="AB78" s="1172"/>
      <c r="AC78" s="1172"/>
      <c r="AD78" s="1172"/>
      <c r="AE78" s="1179"/>
      <c r="AF78" s="2390"/>
      <c r="AG78" s="2386"/>
      <c r="AH78" s="2386"/>
      <c r="AI78" s="2390"/>
      <c r="AJ78" s="2386"/>
      <c r="AK78" s="2386"/>
      <c r="AL78" s="1168"/>
      <c r="AM78" s="1848"/>
      <c r="AN78" s="1848"/>
      <c r="AO78" s="1848"/>
      <c r="AP78" s="1848"/>
      <c r="AQ78" s="1848"/>
      <c r="AR78" s="1848"/>
      <c r="AS78" s="1848"/>
      <c r="AT78" s="1848"/>
      <c r="AU78" s="1848"/>
      <c r="AV78" s="1848"/>
      <c r="AW78" s="1848"/>
      <c r="AX78" s="1848"/>
      <c r="AY78" s="1848"/>
      <c r="AZ78" s="1848"/>
      <c r="BA78" s="1848"/>
      <c r="BB78" s="1848"/>
      <c r="BC78" s="1848"/>
      <c r="BD78" s="1848"/>
      <c r="BE78" s="1848"/>
      <c r="BF78" s="1848"/>
    </row>
    <row s="1660" customFormat="1" customHeight="1" ht="12">
      <c r="A79" s="1161"/>
      <c r="B79" s="1161"/>
      <c r="C79" s="1161"/>
      <c r="D79" s="1155"/>
      <c r="E79" s="1165"/>
      <c r="F79" s="2389"/>
      <c r="G79" s="1187"/>
      <c r="H79" s="1187"/>
      <c r="I79" s="2387" t="s">
        <v>1152</v>
      </c>
      <c r="J79" s="2387"/>
      <c r="K79" s="2387"/>
      <c r="L79" s="1169"/>
      <c r="M79" s="1169"/>
      <c r="N79" s="1170"/>
      <c r="O79" s="1170"/>
      <c r="P79" s="1170"/>
      <c r="Q79" s="1170"/>
      <c r="R79" s="1170"/>
      <c r="S79" s="1170"/>
      <c r="T79" s="1170"/>
      <c r="U79" s="1170"/>
      <c r="V79" s="1170"/>
      <c r="W79" s="1170"/>
      <c r="X79" s="1170"/>
      <c r="Y79" s="1170"/>
      <c r="Z79" s="1170"/>
      <c r="AA79" s="1170"/>
      <c r="AB79" s="1170"/>
      <c r="AC79" s="1170"/>
      <c r="AD79" s="1170"/>
      <c r="AE79" s="1170"/>
      <c r="AF79" s="1170"/>
      <c r="AG79" s="1169"/>
      <c r="AH79" s="1169"/>
      <c r="AI79" s="1170"/>
      <c r="AJ79" s="1169"/>
      <c r="AK79" s="1180"/>
      <c r="AL79" s="1168"/>
      <c r="AM79" s="1848"/>
      <c r="AN79" s="1848"/>
      <c r="AO79" s="1848"/>
      <c r="AP79" s="1848"/>
      <c r="AQ79" s="1848"/>
      <c r="AR79" s="1848"/>
      <c r="AS79" s="1848"/>
      <c r="AT79" s="1848"/>
      <c r="AU79" s="1848"/>
      <c r="AV79" s="1848"/>
      <c r="AW79" s="1848"/>
      <c r="AX79" s="1848"/>
      <c r="AY79" s="1848"/>
      <c r="AZ79" s="1848"/>
      <c r="BA79" s="1848"/>
      <c r="BB79" s="1848"/>
      <c r="BC79" s="1848"/>
      <c r="BD79" s="1848"/>
      <c r="BE79" s="1848"/>
      <c r="BF79" s="1848"/>
    </row>
    <row r="81" s="1840" customFormat="1" customHeight="1" ht="11.25">
      <c r="A81" s="1840" t="s">
        <v>1153</v>
      </c>
    </row>
    <row r="83" s="1660" customFormat="1" customHeight="1" ht="11.25">
      <c r="A83" s="1161"/>
      <c r="B83" s="1161"/>
      <c r="C83" s="1161"/>
      <c r="D83" s="1155"/>
      <c r="E83" s="1165"/>
      <c r="F83" s="1854"/>
      <c r="G83" s="1855"/>
      <c r="H83" s="1855"/>
      <c r="I83" s="1788"/>
      <c r="J83" s="1788"/>
      <c r="K83" s="1856"/>
      <c r="L83" s="1788"/>
      <c r="M83" s="1855"/>
      <c r="N83" s="2350"/>
      <c r="O83" s="2351">
        <v>1</v>
      </c>
      <c r="P83" s="2346" t="s">
        <v>56</v>
      </c>
      <c r="Q83" s="2349" t="s">
        <v>24</v>
      </c>
      <c r="R83" s="2349" t="s">
        <v>24</v>
      </c>
      <c r="S83" s="2349" t="s">
        <v>24</v>
      </c>
      <c r="T83" s="2349" t="s">
        <v>24</v>
      </c>
      <c r="U83" s="2349" t="s">
        <v>24</v>
      </c>
      <c r="V83" s="2349" t="s">
        <v>24</v>
      </c>
      <c r="W83" s="2349" t="s">
        <v>24</v>
      </c>
      <c r="X83" s="2349" t="s">
        <v>24</v>
      </c>
      <c r="Y83" s="2349"/>
      <c r="Z83" s="1171"/>
      <c r="AA83" s="1172"/>
      <c r="AB83" s="1172"/>
      <c r="AC83" s="1176"/>
      <c r="AD83" s="1176"/>
      <c r="AE83" s="1176"/>
      <c r="AF83" s="1857"/>
      <c r="AG83" s="1783"/>
      <c r="AH83" s="1783"/>
      <c r="AI83" s="1857"/>
      <c r="AJ83" s="1783"/>
      <c r="AK83" s="1783"/>
      <c r="AL83" s="1168"/>
      <c r="AM83" s="1848"/>
      <c r="AN83" s="1848"/>
      <c r="AO83" s="1848"/>
      <c r="AP83" s="1848"/>
      <c r="AQ83" s="1848"/>
      <c r="AR83" s="1848"/>
      <c r="AS83" s="1848"/>
      <c r="AT83" s="1848"/>
      <c r="AU83" s="1848"/>
      <c r="AV83" s="1848"/>
      <c r="AW83" s="1848"/>
      <c r="AX83" s="1848"/>
      <c r="AY83" s="1848"/>
      <c r="AZ83" s="1848"/>
      <c r="BA83" s="1848"/>
      <c r="BB83" s="1848"/>
      <c r="BC83" s="1848"/>
      <c r="BD83" s="1848"/>
      <c r="BE83" s="1848"/>
      <c r="BF83" s="1848"/>
    </row>
    <row s="1660" customFormat="1" customHeight="1" ht="11.25">
      <c r="A84" s="1161"/>
      <c r="B84" s="1161"/>
      <c r="C84" s="1161"/>
      <c r="D84" s="1155"/>
      <c r="E84" s="1165"/>
      <c r="F84" s="1854"/>
      <c r="G84" s="1855"/>
      <c r="H84" s="1855"/>
      <c r="I84" s="1789"/>
      <c r="J84" s="1789"/>
      <c r="K84" s="1856"/>
      <c r="L84" s="1789"/>
      <c r="M84" s="1855"/>
      <c r="N84" s="2350"/>
      <c r="O84" s="2351"/>
      <c r="P84" s="2347"/>
      <c r="Q84" s="2349"/>
      <c r="R84" s="2349"/>
      <c r="S84" s="2391"/>
      <c r="T84" s="2349"/>
      <c r="U84" s="2349"/>
      <c r="V84" s="2349"/>
      <c r="W84" s="2349"/>
      <c r="X84" s="2349"/>
      <c r="Y84" s="2349"/>
      <c r="Z84" s="1853"/>
      <c r="AA84" s="1819">
        <v>1</v>
      </c>
      <c r="AB84" s="1175"/>
      <c r="AC84" s="1164"/>
      <c r="AD84" s="1175">
        <f>AB84</f>
        <v>0</v>
      </c>
      <c r="AE84" s="719"/>
      <c r="AF84" s="1856"/>
      <c r="AG84" s="1783"/>
      <c r="AH84" s="1783"/>
      <c r="AI84" s="1856"/>
      <c r="AJ84" s="1783"/>
      <c r="AK84" s="1783"/>
      <c r="AL84" s="1168"/>
      <c r="AM84" s="1848"/>
      <c r="AN84" s="1848"/>
      <c r="AO84" s="1848"/>
      <c r="AP84" s="1848"/>
      <c r="AQ84" s="1848"/>
      <c r="AR84" s="1848"/>
      <c r="AS84" s="1848"/>
      <c r="AT84" s="1848"/>
      <c r="AU84" s="1848"/>
      <c r="AV84" s="1848"/>
      <c r="AW84" s="1848"/>
      <c r="AX84" s="1848"/>
      <c r="AY84" s="1848"/>
      <c r="AZ84" s="1848"/>
      <c r="BA84" s="1848"/>
      <c r="BB84" s="1848"/>
      <c r="BC84" s="1848"/>
      <c r="BD84" s="1848"/>
      <c r="BE84" s="1848"/>
      <c r="BF84" s="1848"/>
    </row>
    <row s="1660" customFormat="1" customHeight="1" ht="11.25">
      <c r="A85" s="1161"/>
      <c r="B85" s="1161"/>
      <c r="C85" s="1161"/>
      <c r="D85" s="1155"/>
      <c r="E85" s="1165"/>
      <c r="F85" s="1854"/>
      <c r="G85" s="1855"/>
      <c r="H85" s="1855"/>
      <c r="I85" s="1790"/>
      <c r="J85" s="1790"/>
      <c r="K85" s="1856"/>
      <c r="L85" s="1790"/>
      <c r="M85" s="1855"/>
      <c r="N85" s="2350"/>
      <c r="O85" s="2351"/>
      <c r="P85" s="2348"/>
      <c r="Q85" s="2349"/>
      <c r="R85" s="2349"/>
      <c r="S85" s="2391"/>
      <c r="T85" s="2349"/>
      <c r="U85" s="2349"/>
      <c r="V85" s="2349"/>
      <c r="W85" s="2349"/>
      <c r="X85" s="2349"/>
      <c r="Y85" s="2349"/>
      <c r="Z85" s="1171"/>
      <c r="AA85" s="1172"/>
      <c r="AB85" s="1246" t="s">
        <v>1150</v>
      </c>
      <c r="AC85" s="1176"/>
      <c r="AD85" s="1176"/>
      <c r="AE85" s="1176"/>
      <c r="AF85" s="1858"/>
      <c r="AG85" s="1783"/>
      <c r="AH85" s="1783"/>
      <c r="AI85" s="1858"/>
      <c r="AJ85" s="1783"/>
      <c r="AK85" s="1783"/>
      <c r="AL85" s="1168"/>
      <c r="AM85" s="1848"/>
      <c r="AN85" s="1848"/>
      <c r="AO85" s="1848"/>
      <c r="AP85" s="1848"/>
      <c r="AQ85" s="1848"/>
      <c r="AR85" s="1848"/>
      <c r="AS85" s="1848"/>
      <c r="AT85" s="1848"/>
      <c r="AU85" s="1848"/>
      <c r="AV85" s="1848"/>
      <c r="AW85" s="1848"/>
      <c r="AX85" s="1848"/>
      <c r="AY85" s="1848"/>
      <c r="AZ85" s="1848"/>
      <c r="BA85" s="1848"/>
      <c r="BB85" s="1848"/>
      <c r="BC85" s="1848"/>
      <c r="BD85" s="1848"/>
      <c r="BE85" s="1848"/>
      <c r="BF85" s="1848"/>
    </row>
    <row r="87" s="1840" customFormat="1" customHeight="1" ht="11.25">
      <c r="A87" s="1840" t="s">
        <v>1154</v>
      </c>
    </row>
    <row r="89" s="1660" customFormat="1" customHeight="1" ht="11.25">
      <c r="A89" s="1161"/>
      <c r="B89" s="1161"/>
      <c r="C89" s="1161"/>
      <c r="D89" s="1155"/>
      <c r="E89" s="1165"/>
      <c r="F89" s="1855"/>
      <c r="G89" s="1855"/>
      <c r="H89" s="1855"/>
      <c r="I89" s="1855"/>
      <c r="J89" s="1855"/>
      <c r="K89" s="1855"/>
      <c r="L89" s="1855"/>
      <c r="M89" s="1855"/>
      <c r="N89" s="1855"/>
      <c r="O89" s="1855"/>
      <c r="P89" s="1855"/>
      <c r="Q89" s="1855"/>
      <c r="R89" s="1855"/>
      <c r="S89" s="1855"/>
      <c r="T89" s="1855"/>
      <c r="U89" s="1855"/>
      <c r="V89" s="1855"/>
      <c r="W89" s="1855"/>
      <c r="X89" s="1855"/>
      <c r="Y89" s="1855"/>
      <c r="Z89" s="1859"/>
      <c r="AA89" s="1839">
        <v>1</v>
      </c>
      <c r="AB89" s="1175"/>
      <c r="AC89" s="1164"/>
      <c r="AD89" s="1175">
        <f>AB89</f>
        <v>0</v>
      </c>
      <c r="AE89" s="1164"/>
      <c r="AF89" s="1856"/>
      <c r="AG89" s="1783"/>
      <c r="AH89" s="1783"/>
      <c r="AI89" s="1856"/>
      <c r="AJ89" s="1783"/>
      <c r="AK89" s="1783"/>
      <c r="AL89" s="1168"/>
      <c r="AM89" s="1848"/>
      <c r="AN89" s="1848"/>
      <c r="AO89" s="1848"/>
      <c r="AP89" s="1848"/>
      <c r="AQ89" s="1848"/>
      <c r="AR89" s="1848"/>
      <c r="AS89" s="1848"/>
      <c r="AT89" s="1848"/>
      <c r="AU89" s="1848"/>
      <c r="AV89" s="1848"/>
      <c r="AW89" s="1848"/>
      <c r="AX89" s="1848"/>
      <c r="AY89" s="1848"/>
      <c r="AZ89" s="1848"/>
      <c r="BA89" s="1848"/>
      <c r="BB89" s="1848"/>
      <c r="BC89" s="1848"/>
      <c r="BD89" s="1848"/>
      <c r="BE89" s="1848"/>
      <c r="BF89" s="1848"/>
    </row>
    <row r="91" s="1840" customFormat="1" customHeight="1" ht="11.25">
      <c r="A91" s="1840" t="s">
        <v>1155</v>
      </c>
    </row>
    <row r="93" s="1660" customFormat="1" customHeight="1" ht="11.25">
      <c r="A93" s="1161"/>
      <c r="B93" s="1161"/>
      <c r="C93" s="1161"/>
      <c r="D93" s="1155"/>
      <c r="E93" s="1165"/>
      <c r="F93" s="1854"/>
      <c r="G93" s="1855"/>
      <c r="H93" s="2338" t="s">
        <v>108</v>
      </c>
      <c r="I93" s="2392"/>
      <c r="J93" s="2316"/>
      <c r="K93" s="2393"/>
      <c r="L93" s="2386" t="s">
        <v>56</v>
      </c>
      <c r="M93" s="1964"/>
      <c r="N93" s="1174"/>
      <c r="O93" s="1173" t="s">
        <v>383</v>
      </c>
      <c r="P93" s="1174"/>
      <c r="Q93" s="1174"/>
      <c r="R93" s="1174"/>
      <c r="S93" s="1174"/>
      <c r="T93" s="1174"/>
      <c r="U93" s="1174"/>
      <c r="V93" s="1174"/>
      <c r="W93" s="1174"/>
      <c r="X93" s="1174"/>
      <c r="Y93" s="1174"/>
      <c r="Z93" s="1174"/>
      <c r="AA93" s="1174"/>
      <c r="AB93" s="1174"/>
      <c r="AC93" s="1174"/>
      <c r="AD93" s="1174"/>
      <c r="AE93" s="1174"/>
      <c r="AF93" s="2390"/>
      <c r="AG93" s="2386"/>
      <c r="AH93" s="2386"/>
      <c r="AI93" s="2390"/>
      <c r="AJ93" s="2386"/>
      <c r="AK93" s="2386"/>
      <c r="AL93" s="1168"/>
      <c r="AM93" s="1848"/>
      <c r="AN93" s="1848"/>
      <c r="AO93" s="1848"/>
      <c r="AP93" s="1848"/>
      <c r="AQ93" s="1848"/>
      <c r="AR93" s="1848"/>
      <c r="AS93" s="1848"/>
      <c r="AT93" s="1848"/>
      <c r="AU93" s="1848"/>
      <c r="AV93" s="1848"/>
      <c r="AW93" s="1848"/>
      <c r="AX93" s="1848"/>
      <c r="AY93" s="1848"/>
      <c r="AZ93" s="1848"/>
      <c r="BA93" s="1848"/>
      <c r="BB93" s="1848"/>
      <c r="BC93" s="1848"/>
      <c r="BD93" s="1848"/>
      <c r="BE93" s="1848"/>
      <c r="BF93" s="1848"/>
    </row>
    <row s="1660" customFormat="1" customHeight="1" ht="11.25">
      <c r="A94" s="1161"/>
      <c r="B94" s="1161"/>
      <c r="C94" s="1161"/>
      <c r="D94" s="1155"/>
      <c r="E94" s="1165"/>
      <c r="F94" s="1854"/>
      <c r="G94" s="1855"/>
      <c r="H94" s="2338"/>
      <c r="I94" s="2392"/>
      <c r="J94" s="2316"/>
      <c r="K94" s="2393"/>
      <c r="L94" s="2386"/>
      <c r="M94" s="1964"/>
      <c r="N94" s="2394"/>
      <c r="O94" s="2351">
        <v>1</v>
      </c>
      <c r="P94" s="2346" t="s">
        <v>56</v>
      </c>
      <c r="Q94" s="2349" t="s">
        <v>24</v>
      </c>
      <c r="R94" s="2349" t="s">
        <v>24</v>
      </c>
      <c r="S94" s="2349" t="s">
        <v>24</v>
      </c>
      <c r="T94" s="2349" t="s">
        <v>24</v>
      </c>
      <c r="U94" s="2349" t="s">
        <v>24</v>
      </c>
      <c r="V94" s="2349" t="s">
        <v>24</v>
      </c>
      <c r="W94" s="2349" t="s">
        <v>24</v>
      </c>
      <c r="X94" s="2349" t="s">
        <v>24</v>
      </c>
      <c r="Y94" s="2349"/>
      <c r="Z94" s="1171"/>
      <c r="AA94" s="1172"/>
      <c r="AB94" s="1172"/>
      <c r="AC94" s="1176"/>
      <c r="AD94" s="1176"/>
      <c r="AE94" s="1177"/>
      <c r="AF94" s="2390"/>
      <c r="AG94" s="2386"/>
      <c r="AH94" s="2386"/>
      <c r="AI94" s="2390"/>
      <c r="AJ94" s="2386"/>
      <c r="AK94" s="2386"/>
      <c r="AL94" s="1168"/>
      <c r="AM94" s="1848"/>
      <c r="AN94" s="1848"/>
      <c r="AO94" s="1848"/>
      <c r="AP94" s="1848"/>
      <c r="AQ94" s="1848"/>
      <c r="AR94" s="1848"/>
      <c r="AS94" s="1848"/>
      <c r="AT94" s="1848"/>
      <c r="AU94" s="1848"/>
      <c r="AV94" s="1848"/>
      <c r="AW94" s="1848"/>
      <c r="AX94" s="1848"/>
      <c r="AY94" s="1848"/>
      <c r="AZ94" s="1848"/>
      <c r="BA94" s="1848"/>
      <c r="BB94" s="1848"/>
      <c r="BC94" s="1848"/>
      <c r="BD94" s="1848"/>
      <c r="BE94" s="1848"/>
      <c r="BF94" s="1848"/>
    </row>
    <row s="1660" customFormat="1" customHeight="1" ht="11.25">
      <c r="A95" s="1161"/>
      <c r="B95" s="1161"/>
      <c r="C95" s="1161"/>
      <c r="D95" s="1155"/>
      <c r="E95" s="1165"/>
      <c r="F95" s="1854"/>
      <c r="G95" s="1855"/>
      <c r="H95" s="2338"/>
      <c r="I95" s="2392"/>
      <c r="J95" s="2316"/>
      <c r="K95" s="2393"/>
      <c r="L95" s="2386"/>
      <c r="M95" s="1964"/>
      <c r="N95" s="2394"/>
      <c r="O95" s="2351"/>
      <c r="P95" s="2347"/>
      <c r="Q95" s="2349"/>
      <c r="R95" s="2349"/>
      <c r="S95" s="2391"/>
      <c r="T95" s="2349"/>
      <c r="U95" s="2349"/>
      <c r="V95" s="2349"/>
      <c r="W95" s="2349"/>
      <c r="X95" s="2349"/>
      <c r="Y95" s="2349"/>
      <c r="Z95" s="1853"/>
      <c r="AA95" s="1819">
        <v>1</v>
      </c>
      <c r="AB95" s="1175"/>
      <c r="AC95" s="1164"/>
      <c r="AD95" s="1175">
        <f>AB95</f>
        <v>0</v>
      </c>
      <c r="AE95" s="1164"/>
      <c r="AF95" s="2390"/>
      <c r="AG95" s="2386"/>
      <c r="AH95" s="2386"/>
      <c r="AI95" s="2390"/>
      <c r="AJ95" s="2386"/>
      <c r="AK95" s="2386"/>
      <c r="AL95" s="1168"/>
      <c r="AM95" s="1848"/>
      <c r="AN95" s="1848"/>
      <c r="AO95" s="1848"/>
      <c r="AP95" s="1848"/>
      <c r="AQ95" s="1848"/>
      <c r="AR95" s="1848"/>
      <c r="AS95" s="1848"/>
      <c r="AT95" s="1848"/>
      <c r="AU95" s="1848"/>
      <c r="AV95" s="1848"/>
      <c r="AW95" s="1848"/>
      <c r="AX95" s="1848"/>
      <c r="AY95" s="1848"/>
      <c r="AZ95" s="1848"/>
      <c r="BA95" s="1848"/>
      <c r="BB95" s="1848"/>
      <c r="BC95" s="1848"/>
      <c r="BD95" s="1848"/>
      <c r="BE95" s="1848"/>
      <c r="BF95" s="1848"/>
    </row>
    <row s="1660" customFormat="1" customHeight="1" ht="11.25">
      <c r="A96" s="1161"/>
      <c r="B96" s="1161"/>
      <c r="C96" s="1161"/>
      <c r="D96" s="1155"/>
      <c r="E96" s="1165"/>
      <c r="F96" s="1854"/>
      <c r="G96" s="1855"/>
      <c r="H96" s="2338"/>
      <c r="I96" s="2392"/>
      <c r="J96" s="2316"/>
      <c r="K96" s="2393"/>
      <c r="L96" s="2386"/>
      <c r="M96" s="1964"/>
      <c r="N96" s="2394"/>
      <c r="O96" s="2351"/>
      <c r="P96" s="2348"/>
      <c r="Q96" s="2349"/>
      <c r="R96" s="2349"/>
      <c r="S96" s="2391"/>
      <c r="T96" s="2349"/>
      <c r="U96" s="2349"/>
      <c r="V96" s="2349"/>
      <c r="W96" s="2349"/>
      <c r="X96" s="2349"/>
      <c r="Y96" s="2349"/>
      <c r="Z96" s="1171"/>
      <c r="AA96" s="1172"/>
      <c r="AB96" s="1246" t="s">
        <v>1150</v>
      </c>
      <c r="AC96" s="1176"/>
      <c r="AD96" s="1176"/>
      <c r="AE96" s="1178"/>
      <c r="AF96" s="2390"/>
      <c r="AG96" s="2386"/>
      <c r="AH96" s="2386"/>
      <c r="AI96" s="2390"/>
      <c r="AJ96" s="2386"/>
      <c r="AK96" s="2386"/>
      <c r="AL96" s="1168"/>
      <c r="AM96" s="1848"/>
      <c r="AN96" s="1848"/>
      <c r="AO96" s="1848"/>
      <c r="AP96" s="1848"/>
      <c r="AQ96" s="1848"/>
      <c r="AR96" s="1848"/>
      <c r="AS96" s="1848"/>
      <c r="AT96" s="1848"/>
      <c r="AU96" s="1848"/>
      <c r="AV96" s="1848"/>
      <c r="AW96" s="1848"/>
      <c r="AX96" s="1848"/>
      <c r="AY96" s="1848"/>
      <c r="AZ96" s="1848"/>
      <c r="BA96" s="1848"/>
      <c r="BB96" s="1848"/>
      <c r="BC96" s="1848"/>
      <c r="BD96" s="1848"/>
      <c r="BE96" s="1848"/>
      <c r="BF96" s="1848"/>
    </row>
    <row s="1660" customFormat="1" customHeight="1" ht="11.25">
      <c r="A97" s="1161"/>
      <c r="B97" s="1161"/>
      <c r="C97" s="1161"/>
      <c r="D97" s="1155"/>
      <c r="E97" s="1165"/>
      <c r="F97" s="1854"/>
      <c r="G97" s="1855"/>
      <c r="H97" s="2338"/>
      <c r="I97" s="2392"/>
      <c r="J97" s="2316"/>
      <c r="K97" s="2393"/>
      <c r="L97" s="2386"/>
      <c r="M97" s="1964"/>
      <c r="N97" s="1172"/>
      <c r="O97" s="1172"/>
      <c r="P97" s="1163" t="s">
        <v>1151</v>
      </c>
      <c r="Q97" s="1172"/>
      <c r="R97" s="1172"/>
      <c r="S97" s="1172"/>
      <c r="T97" s="1172"/>
      <c r="U97" s="1172"/>
      <c r="V97" s="1172"/>
      <c r="W97" s="1172"/>
      <c r="X97" s="1172"/>
      <c r="Y97" s="1172"/>
      <c r="Z97" s="1172"/>
      <c r="AA97" s="1172"/>
      <c r="AB97" s="1172"/>
      <c r="AC97" s="1172"/>
      <c r="AD97" s="1172"/>
      <c r="AE97" s="1179"/>
      <c r="AF97" s="2390"/>
      <c r="AG97" s="2386"/>
      <c r="AH97" s="2386"/>
      <c r="AI97" s="2390"/>
      <c r="AJ97" s="2386"/>
      <c r="AK97" s="2386"/>
      <c r="AL97" s="1168"/>
      <c r="AM97" s="1848"/>
      <c r="AN97" s="1848"/>
      <c r="AO97" s="1848"/>
      <c r="AP97" s="1848"/>
      <c r="AQ97" s="1848"/>
      <c r="AR97" s="1848"/>
      <c r="AS97" s="1848"/>
      <c r="AT97" s="1848"/>
      <c r="AU97" s="1848"/>
      <c r="AV97" s="1848"/>
      <c r="AW97" s="1848"/>
      <c r="AX97" s="1848"/>
      <c r="AY97" s="1848"/>
      <c r="AZ97" s="1848"/>
      <c r="BA97" s="1848"/>
      <c r="BB97" s="1848"/>
      <c r="BC97" s="1848"/>
      <c r="BD97" s="1848"/>
      <c r="BE97" s="1848"/>
      <c r="BF97" s="1848"/>
    </row>
    <row r="99" s="1840" customFormat="1" customHeight="1" ht="11.25">
      <c r="A99" s="1840" t="s">
        <v>1156</v>
      </c>
    </row>
    <row customHeight="1" ht="17.25"/>
    <row s="919" customFormat="1" customHeight="1" ht="21">
      <c r="A101" s="1162"/>
      <c r="B101" s="934"/>
      <c r="D101" s="918"/>
      <c r="E101" s="933" t="s">
        <v>24</v>
      </c>
      <c r="F101" s="1116">
        <f>INDEX(IP_MAIN_LIST_NAME_IP,MATCH(A101,IP_MAIN_LIST_IP_ID,0))&amp;" ("&amp;INDEX(IP_MAIN_START_DATE,MATCH(A101,IP_MAIN_LIST_IP_ID,0))&amp;"-"&amp;INDEX(IP_MAIN_END_DATE,MATCH(A101,IP_MAIN_LIST_IP_ID,0))&amp;")"</f>
      </c>
      <c r="G101" s="1200"/>
      <c r="H101" s="1201"/>
      <c r="I101" s="1201"/>
      <c r="J101" s="1201"/>
      <c r="K101" s="1201"/>
      <c r="L101" s="1201"/>
      <c r="M101" s="1201"/>
      <c r="N101" s="1201"/>
      <c r="O101" s="1200"/>
      <c r="P101" s="1200"/>
      <c r="Q101" s="1200"/>
      <c r="R101" s="1200"/>
      <c r="S101" s="1200"/>
      <c r="T101" s="1200"/>
      <c r="U101" s="1202"/>
      <c r="V101" s="1202"/>
      <c r="W101" s="1202"/>
      <c r="X101" s="1202"/>
      <c r="Y101" s="1202"/>
      <c r="Z101" s="1202"/>
      <c r="AA101" s="1202"/>
      <c r="AB101" s="1200"/>
      <c r="AC101" s="1201"/>
      <c r="AD101" s="1201"/>
      <c r="AE101" s="1201"/>
      <c r="AF101" s="1201"/>
      <c r="AG101" s="1201"/>
      <c r="AH101" s="1201"/>
      <c r="AI101" s="1201"/>
      <c r="AJ101" s="1201"/>
      <c r="AK101" s="1201"/>
      <c r="AL101" s="1201"/>
      <c r="AM101" s="1201"/>
      <c r="AN101" s="1201"/>
      <c r="AO101" s="1201"/>
      <c r="AP101" s="1201"/>
      <c r="AQ101" s="1201"/>
      <c r="AR101" s="1201"/>
      <c r="AS101" s="1201"/>
      <c r="AT101" s="1201"/>
      <c r="AU101" s="1201"/>
      <c r="AV101" s="1201"/>
      <c r="AW101" s="1201"/>
      <c r="AX101" s="1201"/>
      <c r="AY101" s="1201"/>
      <c r="AZ101" s="1201"/>
      <c r="BA101" s="1201"/>
      <c r="BB101" s="1201"/>
      <c r="BC101" s="1201"/>
      <c r="BD101" s="1201"/>
      <c r="BE101" s="1201"/>
      <c r="BF101" s="1201"/>
      <c r="BG101" s="1201"/>
      <c r="BH101" s="1201"/>
      <c r="BI101" s="1201"/>
      <c r="BJ101" s="1201"/>
      <c r="BK101" s="1201"/>
      <c r="BL101" s="1201"/>
      <c r="BM101" s="1201"/>
      <c r="BN101" s="1201"/>
      <c r="BO101" s="1201"/>
      <c r="BP101" s="1201"/>
      <c r="BQ101" s="1201"/>
      <c r="BR101" s="1201"/>
      <c r="BS101" s="1201"/>
      <c r="BT101" s="1201"/>
      <c r="BU101" s="1201"/>
      <c r="BV101" s="1201"/>
      <c r="BW101" s="1201"/>
      <c r="BX101" s="1201"/>
      <c r="BY101" s="1201"/>
      <c r="BZ101" s="1201"/>
      <c r="CA101" s="1201"/>
      <c r="CB101" s="1201"/>
      <c r="CC101" s="1201"/>
      <c r="CD101" s="1201"/>
      <c r="CE101" s="1201"/>
      <c r="CF101" s="1201"/>
      <c r="CG101" s="1201"/>
      <c r="CH101" s="1201"/>
      <c r="CI101" s="1201"/>
      <c r="CJ101" s="1201"/>
      <c r="CK101" s="1201"/>
      <c r="CL101" s="1203"/>
      <c r="CM101" s="1203"/>
      <c r="CN101" s="1203"/>
      <c r="CO101" s="1203"/>
      <c r="CP101" s="1203"/>
      <c r="CQ101" s="1203"/>
      <c r="CR101" s="1203"/>
      <c r="CS101" s="1203"/>
      <c r="CT101" s="1203"/>
      <c r="CU101" s="1203"/>
      <c r="CV101" s="1203"/>
      <c r="CW101" s="1203"/>
      <c r="CX101" s="1203"/>
      <c r="CY101" s="1203"/>
      <c r="CZ101" s="1203"/>
      <c r="DA101" s="1203"/>
      <c r="DB101" s="1203"/>
      <c r="DC101" s="1203"/>
      <c r="DD101" s="1203"/>
      <c r="DE101" s="1203"/>
      <c r="DF101" s="1203"/>
      <c r="DG101" s="1203"/>
      <c r="DH101" s="1203"/>
      <c r="DI101" s="1203"/>
      <c r="DJ101" s="1203"/>
      <c r="DK101" s="1203"/>
      <c r="DL101" s="1203"/>
      <c r="DM101" s="1203"/>
      <c r="DN101" s="1203"/>
      <c r="DO101" s="1203"/>
      <c r="DP101" s="1203"/>
      <c r="DQ101" s="1203"/>
      <c r="DR101" s="1203"/>
      <c r="DS101" s="1203"/>
      <c r="DT101" s="1203"/>
      <c r="DU101" s="1203"/>
      <c r="DV101" s="1203"/>
      <c r="DW101" s="1203"/>
      <c r="DX101" s="1203"/>
      <c r="DY101" s="1203"/>
      <c r="DZ101" s="1203"/>
      <c r="EA101" s="1203"/>
      <c r="EB101" s="1203"/>
      <c r="EC101" s="1203"/>
      <c r="ED101" s="1203"/>
      <c r="EE101" s="1203"/>
      <c r="EF101" s="1203"/>
      <c r="EG101" s="1203"/>
      <c r="EH101" s="1203"/>
      <c r="EI101" s="1203"/>
      <c r="EJ101" s="1203"/>
      <c r="EK101" s="1203"/>
      <c r="EL101" s="1203"/>
      <c r="EM101" s="1203"/>
      <c r="EN101" s="1203"/>
      <c r="EO101" s="1203"/>
      <c r="EP101" s="1203"/>
      <c r="EQ101" s="1203"/>
      <c r="ER101" s="1203"/>
      <c r="ES101" s="1203"/>
      <c r="ET101" s="1203"/>
      <c r="EU101" s="1203"/>
      <c r="EV101" s="1203"/>
      <c r="EW101" s="1203"/>
      <c r="EX101" s="1203"/>
      <c r="EY101" s="1203"/>
      <c r="EZ101" s="1203"/>
      <c r="FA101" s="1203"/>
      <c r="FB101" s="1203"/>
      <c r="FC101" s="1203"/>
      <c r="FD101" s="1203"/>
      <c r="FE101" s="1203"/>
      <c r="FF101" s="1203"/>
      <c r="FG101" s="1203"/>
      <c r="FH101" s="1203"/>
      <c r="FI101" s="1203"/>
      <c r="FJ101" s="1203"/>
      <c r="FK101" s="1203"/>
      <c r="FL101" s="1203"/>
      <c r="FM101" s="1203"/>
      <c r="FN101" s="1203"/>
      <c r="FO101" s="1203"/>
      <c r="FP101" s="1203"/>
      <c r="FQ101" s="1203"/>
      <c r="FR101" s="1203"/>
      <c r="FS101" s="1203"/>
      <c r="FT101" s="1203"/>
      <c r="FU101" s="1203"/>
      <c r="FV101" s="1204"/>
      <c r="FW101" s="1198"/>
      <c r="FX101" s="1199"/>
    </row>
    <row s="919" customFormat="1" customHeight="1" ht="24.75">
      <c r="B102" s="917"/>
      <c r="C102" s="918"/>
      <c r="D102" s="918"/>
      <c r="E102" s="0"/>
      <c r="F102" s="1205">
        <v>1</v>
      </c>
      <c r="G102" s="1206"/>
      <c r="H102" s="1207"/>
      <c r="I102" s="1215"/>
      <c r="J102" s="1208"/>
      <c r="K102" s="1208"/>
      <c r="L102" s="1208"/>
      <c r="M102" s="1208"/>
      <c r="N102" s="1208"/>
      <c r="O102" s="1209"/>
      <c r="P102" s="1209"/>
      <c r="Q102" s="1209"/>
      <c r="R102" s="1209"/>
      <c r="S102" s="1209"/>
      <c r="T102" s="1209"/>
      <c r="U102" s="1209"/>
      <c r="V102" s="1209"/>
      <c r="W102" s="1209"/>
      <c r="X102" s="1209"/>
      <c r="Y102" s="1209"/>
      <c r="Z102" s="1209"/>
      <c r="AA102" s="1209"/>
      <c r="AB102" s="1209"/>
      <c r="AC102" s="1208"/>
      <c r="AD102" s="1208"/>
      <c r="AE102" s="1208"/>
      <c r="AF102" s="1208"/>
      <c r="AG102" s="1208"/>
      <c r="AH102" s="1208"/>
      <c r="AI102" s="1208"/>
      <c r="AJ102" s="1208"/>
      <c r="AK102" s="1208"/>
      <c r="AL102" s="1208"/>
      <c r="AM102" s="1208"/>
      <c r="AN102" s="1208"/>
      <c r="AO102" s="1208"/>
      <c r="AP102" s="1208"/>
      <c r="AQ102" s="1208"/>
      <c r="AR102" s="1208"/>
      <c r="AS102" s="1208"/>
      <c r="AT102" s="1208"/>
      <c r="AU102" s="1208"/>
      <c r="AV102" s="1208"/>
      <c r="AW102" s="1208"/>
      <c r="AX102" s="1208"/>
      <c r="AY102" s="1208"/>
      <c r="AZ102" s="1208"/>
      <c r="BA102" s="1208"/>
      <c r="BB102" s="1208"/>
      <c r="BC102" s="1208"/>
      <c r="BD102" s="1208"/>
      <c r="BE102" s="1208"/>
      <c r="BF102" s="1208"/>
      <c r="BG102" s="1208"/>
      <c r="BH102" s="1208"/>
      <c r="BI102" s="1208"/>
      <c r="BJ102" s="1208"/>
      <c r="BK102" s="1208"/>
      <c r="BL102" s="1208"/>
      <c r="BM102" s="1208"/>
      <c r="BN102" s="1208"/>
      <c r="BO102" s="1208"/>
      <c r="BP102" s="1208"/>
      <c r="BQ102" s="1208"/>
      <c r="BR102" s="1208"/>
      <c r="BS102" s="1208"/>
      <c r="BT102" s="1210"/>
      <c r="BU102" s="1210"/>
      <c r="BV102" s="1210"/>
      <c r="BW102" s="1210"/>
      <c r="BX102" s="1210"/>
      <c r="BY102" s="1210"/>
      <c r="BZ102" s="1210"/>
      <c r="CA102" s="1210"/>
      <c r="CB102" s="1210"/>
      <c r="CC102" s="1210"/>
      <c r="CD102" s="1210"/>
      <c r="CE102" s="1210"/>
      <c r="CF102" s="1210"/>
      <c r="CG102" s="1210"/>
      <c r="CH102" s="1210"/>
      <c r="CI102" s="1210"/>
      <c r="CJ102" s="1210"/>
      <c r="CK102" s="1210"/>
      <c r="CL102" s="1208"/>
      <c r="CM102" s="1208"/>
      <c r="CN102" s="1208"/>
      <c r="CO102" s="1208"/>
      <c r="CP102" s="1208"/>
      <c r="CQ102" s="1208"/>
      <c r="CR102" s="1208"/>
      <c r="CS102" s="1208"/>
      <c r="CT102" s="1208"/>
      <c r="CU102" s="1208"/>
      <c r="CV102" s="1208"/>
      <c r="CW102" s="1208"/>
      <c r="CX102" s="1208"/>
      <c r="CY102" s="1209"/>
      <c r="CZ102" s="1209"/>
      <c r="DA102" s="1209"/>
      <c r="DB102" s="1209"/>
      <c r="DC102" s="1209"/>
      <c r="DD102" s="1209"/>
      <c r="DE102" s="1209"/>
      <c r="DF102" s="1209"/>
      <c r="DG102" s="1209"/>
      <c r="DH102" s="1209"/>
      <c r="DI102" s="1209"/>
      <c r="DJ102" s="1209"/>
      <c r="DK102" s="1208"/>
      <c r="DL102" s="1208"/>
      <c r="DM102" s="1208"/>
      <c r="DN102" s="1208"/>
      <c r="DO102" s="1208"/>
      <c r="DP102" s="1208"/>
      <c r="DQ102" s="1208"/>
      <c r="DR102" s="1208"/>
      <c r="DS102" s="1208"/>
      <c r="DT102" s="1208"/>
      <c r="DU102" s="1208"/>
      <c r="DV102" s="1208"/>
      <c r="DW102" s="1208"/>
      <c r="DX102" s="1208"/>
      <c r="DY102" s="1208"/>
      <c r="DZ102" s="1208"/>
      <c r="EA102" s="1208"/>
      <c r="EB102" s="1208"/>
      <c r="EC102" s="1208"/>
      <c r="ED102" s="1208"/>
      <c r="EE102" s="1208"/>
      <c r="EF102" s="1208"/>
      <c r="EG102" s="1208"/>
      <c r="EH102" s="1208"/>
      <c r="EI102" s="1208"/>
      <c r="EJ102" s="1208"/>
      <c r="EK102" s="1208"/>
      <c r="EL102" s="1208"/>
      <c r="EM102" s="1208"/>
      <c r="EN102" s="1208"/>
      <c r="EO102" s="1208"/>
      <c r="EP102" s="1208"/>
      <c r="EQ102" s="1208"/>
      <c r="ER102" s="1208"/>
      <c r="ES102" s="1208"/>
      <c r="ET102" s="1208"/>
      <c r="EU102" s="1208"/>
      <c r="EV102" s="1208"/>
      <c r="EW102" s="1208"/>
      <c r="EX102" s="1208"/>
      <c r="EY102" s="1208"/>
      <c r="EZ102" s="1208"/>
      <c r="FA102" s="1208"/>
      <c r="FB102" s="1208"/>
      <c r="FC102" s="1208"/>
      <c r="FD102" s="1208"/>
      <c r="FE102" s="1208"/>
      <c r="FF102" s="1208"/>
      <c r="FG102" s="1208"/>
      <c r="FH102" s="1208"/>
      <c r="FI102" s="1208"/>
      <c r="FJ102" s="1208"/>
      <c r="FK102" s="1208"/>
      <c r="FL102" s="1208"/>
      <c r="FM102" s="1208"/>
      <c r="FN102" s="1208"/>
      <c r="FO102" s="1208"/>
      <c r="FP102" s="1208"/>
      <c r="FQ102" s="1208"/>
      <c r="FR102" s="1208"/>
      <c r="FS102" s="1208"/>
      <c r="FT102" s="1208"/>
      <c r="FU102" s="1208"/>
      <c r="FV102" s="1208"/>
      <c r="FW102" s="1208"/>
      <c r="FX102" s="1199"/>
    </row>
    <row s="919" customFormat="1" customHeight="1" ht="12">
      <c r="A103" s="918"/>
      <c r="B103" s="917"/>
      <c r="C103" s="918"/>
      <c r="D103" s="918"/>
      <c r="E103" s="918"/>
      <c r="F103" s="1211"/>
      <c r="G103" s="1825" t="s">
        <v>1157</v>
      </c>
      <c r="H103" s="1212"/>
      <c r="I103" s="1212"/>
      <c r="J103" s="1212"/>
      <c r="K103" s="1212"/>
      <c r="L103" s="1212"/>
      <c r="M103" s="1212"/>
      <c r="N103" s="1212"/>
      <c r="O103" s="1212"/>
      <c r="P103" s="1212"/>
      <c r="Q103" s="1212"/>
      <c r="R103" s="1212"/>
      <c r="S103" s="1212"/>
      <c r="T103" s="1212"/>
      <c r="U103" s="1212"/>
      <c r="V103" s="1212"/>
      <c r="W103" s="1212"/>
      <c r="X103" s="1212"/>
      <c r="Y103" s="1212"/>
      <c r="Z103" s="1212"/>
      <c r="AA103" s="1212"/>
      <c r="AB103" s="1212"/>
      <c r="AC103" s="1212"/>
      <c r="AD103" s="1212"/>
      <c r="AE103" s="1212"/>
      <c r="AF103" s="1212"/>
      <c r="AG103" s="1212"/>
      <c r="AH103" s="1212"/>
      <c r="AI103" s="1212"/>
      <c r="AJ103" s="1212"/>
      <c r="AK103" s="1212"/>
      <c r="AL103" s="1212"/>
      <c r="AM103" s="1212"/>
      <c r="AN103" s="1212"/>
      <c r="AO103" s="1212"/>
      <c r="AP103" s="1212"/>
      <c r="AQ103" s="1212"/>
      <c r="AR103" s="1212"/>
      <c r="AS103" s="1212"/>
      <c r="AT103" s="1212"/>
      <c r="AU103" s="1212"/>
      <c r="AV103" s="1212"/>
      <c r="AW103" s="1212"/>
      <c r="AX103" s="1212"/>
      <c r="AY103" s="1212"/>
      <c r="AZ103" s="1212"/>
      <c r="BA103" s="1212"/>
      <c r="BB103" s="1212"/>
      <c r="BC103" s="1212"/>
      <c r="BD103" s="1212"/>
      <c r="BE103" s="1212"/>
      <c r="BF103" s="1212"/>
      <c r="BG103" s="1212"/>
      <c r="BH103" s="1212"/>
      <c r="BI103" s="1212"/>
      <c r="BJ103" s="1212"/>
      <c r="BK103" s="1212"/>
      <c r="BL103" s="1212"/>
      <c r="BM103" s="1212"/>
      <c r="BN103" s="1212"/>
      <c r="BO103" s="1212"/>
      <c r="BP103" s="1212"/>
      <c r="BQ103" s="1212"/>
      <c r="BR103" s="1212"/>
      <c r="BS103" s="1212"/>
      <c r="BT103" s="1212"/>
      <c r="BU103" s="1212"/>
      <c r="BV103" s="1212"/>
      <c r="BW103" s="1212"/>
      <c r="BX103" s="1212"/>
      <c r="BY103" s="1212"/>
      <c r="BZ103" s="1212"/>
      <c r="CA103" s="1212"/>
      <c r="CB103" s="1212"/>
      <c r="CC103" s="1212"/>
      <c r="CD103" s="1212"/>
      <c r="CE103" s="1212"/>
      <c r="CF103" s="1212"/>
      <c r="CG103" s="1212"/>
      <c r="CH103" s="1212"/>
      <c r="CI103" s="1212"/>
      <c r="CJ103" s="1212"/>
      <c r="CK103" s="1212"/>
      <c r="CL103" s="1212"/>
      <c r="CM103" s="1212"/>
      <c r="CN103" s="1212"/>
      <c r="CO103" s="1212"/>
      <c r="CP103" s="1212"/>
      <c r="CQ103" s="1212"/>
      <c r="CR103" s="1212"/>
      <c r="CS103" s="1212"/>
      <c r="CT103" s="1212"/>
      <c r="CU103" s="1212"/>
      <c r="CV103" s="1212"/>
      <c r="CW103" s="1212"/>
      <c r="CX103" s="1212"/>
      <c r="CY103" s="1212"/>
      <c r="CZ103" s="1212"/>
      <c r="DA103" s="1212"/>
      <c r="DB103" s="1212"/>
      <c r="DC103" s="1212"/>
      <c r="DD103" s="1212"/>
      <c r="DE103" s="1212"/>
      <c r="DF103" s="1212"/>
      <c r="DG103" s="1212"/>
      <c r="DH103" s="1212"/>
      <c r="DI103" s="1212"/>
      <c r="DJ103" s="1212"/>
      <c r="DK103" s="1212"/>
      <c r="DL103" s="1212"/>
      <c r="DM103" s="1212"/>
      <c r="DN103" s="1212"/>
      <c r="DO103" s="1212"/>
      <c r="DP103" s="1212"/>
      <c r="DQ103" s="1212"/>
      <c r="DR103" s="1212"/>
      <c r="DS103" s="1212"/>
      <c r="DT103" s="1212"/>
      <c r="DU103" s="1212"/>
      <c r="DV103" s="1212"/>
      <c r="DW103" s="1212"/>
      <c r="DX103" s="1212"/>
      <c r="DY103" s="1212"/>
      <c r="DZ103" s="1212"/>
      <c r="EA103" s="1212"/>
      <c r="EB103" s="1212"/>
      <c r="EC103" s="1212"/>
      <c r="ED103" s="1212"/>
      <c r="EE103" s="1212"/>
      <c r="EF103" s="1212"/>
      <c r="EG103" s="1212"/>
      <c r="EH103" s="1212"/>
      <c r="EI103" s="1212"/>
      <c r="EJ103" s="1212"/>
      <c r="EK103" s="1212"/>
      <c r="EL103" s="1212"/>
      <c r="EM103" s="1212"/>
      <c r="EN103" s="1212"/>
      <c r="EO103" s="1212"/>
      <c r="EP103" s="1212"/>
      <c r="EQ103" s="1212"/>
      <c r="ER103" s="1212"/>
      <c r="ES103" s="1212"/>
      <c r="ET103" s="1212"/>
      <c r="EU103" s="1212"/>
      <c r="EV103" s="1212"/>
      <c r="EW103" s="1212"/>
      <c r="EX103" s="1212"/>
      <c r="EY103" s="1212"/>
      <c r="EZ103" s="1212"/>
      <c r="FA103" s="1212"/>
      <c r="FB103" s="1212"/>
      <c r="FC103" s="1212"/>
      <c r="FD103" s="1212"/>
      <c r="FE103" s="1212"/>
      <c r="FF103" s="1212"/>
      <c r="FG103" s="1212"/>
      <c r="FH103" s="1212"/>
      <c r="FI103" s="1212"/>
      <c r="FJ103" s="1212"/>
      <c r="FK103" s="1212"/>
      <c r="FL103" s="1212"/>
      <c r="FM103" s="1212"/>
      <c r="FN103" s="1212"/>
      <c r="FO103" s="1212"/>
      <c r="FP103" s="1212"/>
      <c r="FQ103" s="1212"/>
      <c r="FR103" s="1212"/>
      <c r="FS103" s="1212"/>
      <c r="FT103" s="1212"/>
      <c r="FU103" s="1212"/>
      <c r="FV103" s="1212"/>
      <c r="FW103" s="1213"/>
      <c r="FX103" s="1214"/>
      <c r="FY103" s="935"/>
      <c r="FZ103" s="935"/>
      <c r="GA103" s="935"/>
      <c r="GB103" s="935"/>
    </row>
    <row r="105" s="1840" customFormat="1" customHeight="1" ht="11.25">
      <c r="A105" s="1840" t="s">
        <v>1158</v>
      </c>
    </row>
    <row r="107" s="2437" customFormat="1" customHeight="1" ht="15">
      <c r="A107" s="619"/>
      <c r="B107" s="0"/>
      <c r="C107" s="0"/>
      <c r="D107" s="2343" t="s">
        <v>108</v>
      </c>
      <c r="E107" s="2207" t="s">
        <v>104</v>
      </c>
      <c r="F107" s="2208"/>
      <c r="G107" s="2209"/>
      <c r="H107" s="2202" t="str">
        <f>IF(A107="","",INDEX(DIFFERENTIATION_UNMERGE_VD,MATCH(A107,DIFFERENTIATION_ID_DIFF,0)))</f>
        <v/>
      </c>
      <c r="I107" s="2202"/>
      <c r="J107" s="2202"/>
      <c r="K107" s="2202"/>
      <c r="L107" s="2202"/>
      <c r="M107" s="2202"/>
      <c r="N107" s="2202"/>
      <c r="O107" s="2202"/>
      <c r="P107" s="2202"/>
      <c r="Q107" s="2202"/>
      <c r="R107" s="2202"/>
      <c r="S107" s="714"/>
      <c r="T107" s="711"/>
      <c r="U107" s="620"/>
      <c r="V107" s="620"/>
      <c r="W107" s="621"/>
      <c r="X107" s="621"/>
      <c r="Y107" s="621"/>
      <c r="Z107" s="621"/>
      <c r="AA107" s="622"/>
      <c r="AB107" s="623"/>
      <c r="AC107" s="2206"/>
      <c r="AD107" s="624"/>
      <c r="AE107" s="625" t="s">
        <v>24</v>
      </c>
      <c r="AF107" s="625"/>
      <c r="AG107" s="626" t="s">
        <v>608</v>
      </c>
      <c r="AH107" s="627">
        <v>3</v>
      </c>
      <c r="AI107" s="620"/>
      <c r="AJ107" s="620"/>
      <c r="AK107" s="620"/>
      <c r="AL107" s="620"/>
      <c r="AM107" s="620"/>
      <c r="AN107" s="620"/>
      <c r="AO107" s="620"/>
      <c r="AP107" s="620"/>
      <c r="AQ107" s="620"/>
      <c r="AR107" s="620"/>
      <c r="AS107" s="620"/>
      <c r="AT107" s="620"/>
      <c r="AU107" s="620"/>
      <c r="AV107" s="620"/>
      <c r="AW107" s="620"/>
      <c r="AX107" s="620"/>
      <c r="AY107" s="620"/>
      <c r="AZ107" s="620"/>
      <c r="BA107" s="620"/>
      <c r="BB107" s="620"/>
      <c r="BC107" s="620"/>
      <c r="BD107" s="620"/>
      <c r="BE107" s="620"/>
      <c r="BF107" s="620"/>
      <c r="BG107" s="620"/>
      <c r="BH107" s="620"/>
      <c r="BI107" s="620"/>
      <c r="BJ107" s="620"/>
      <c r="BK107" s="620"/>
      <c r="BL107" s="620"/>
      <c r="BM107" s="620"/>
      <c r="BN107" s="620"/>
      <c r="BO107" s="620"/>
      <c r="BP107" s="620"/>
      <c r="BQ107" s="620"/>
      <c r="BR107" s="620"/>
      <c r="BS107" s="620"/>
      <c r="BT107" s="620"/>
      <c r="BU107" s="620"/>
      <c r="BV107" s="621"/>
      <c r="BW107" s="621"/>
      <c r="BX107" s="621"/>
      <c r="BY107" s="621"/>
      <c r="BZ107" s="621"/>
      <c r="CA107" s="621"/>
      <c r="CB107" s="621"/>
      <c r="CC107" s="621"/>
      <c r="CD107" s="621"/>
      <c r="CE107" s="621"/>
    </row>
    <row s="2437" customFormat="1" customHeight="1" ht="15">
      <c r="A108" s="619"/>
      <c r="B108" s="0"/>
      <c r="C108" s="0"/>
      <c r="D108" s="2344"/>
      <c r="E108" s="2207" t="s">
        <v>563</v>
      </c>
      <c r="F108" s="2208"/>
      <c r="G108" s="2209"/>
      <c r="H108" s="2202" t="str">
        <f>IF(A107="","",INDEX(DIFFERENTIATION_UNMERGE_AREA,MATCH(A107,DIFFERENTIATION_ID_DIFF,0)))</f>
        <v/>
      </c>
      <c r="I108" s="2202"/>
      <c r="J108" s="2202"/>
      <c r="K108" s="2202"/>
      <c r="L108" s="2202"/>
      <c r="M108" s="2202"/>
      <c r="N108" s="2202"/>
      <c r="O108" s="2202"/>
      <c r="P108" s="2202"/>
      <c r="Q108" s="2202"/>
      <c r="R108" s="2202"/>
      <c r="S108" s="714"/>
      <c r="T108" s="711"/>
      <c r="U108" s="620"/>
      <c r="V108" s="620"/>
      <c r="W108" s="621"/>
      <c r="X108" s="621"/>
      <c r="Y108" s="621"/>
      <c r="Z108" s="621"/>
      <c r="AA108" s="622"/>
      <c r="AB108" s="623"/>
      <c r="AC108" s="2206"/>
      <c r="AD108" s="624"/>
      <c r="AE108" s="625"/>
      <c r="AF108" s="625"/>
      <c r="AG108" s="626"/>
      <c r="AH108" s="627"/>
      <c r="AI108" s="620"/>
      <c r="AJ108" s="620"/>
      <c r="AK108" s="620"/>
      <c r="AL108" s="620"/>
      <c r="AM108" s="620"/>
      <c r="AN108" s="620"/>
      <c r="AO108" s="620"/>
      <c r="AP108" s="620"/>
      <c r="AQ108" s="620"/>
      <c r="AR108" s="620"/>
      <c r="AS108" s="620"/>
      <c r="AT108" s="620"/>
      <c r="AU108" s="620"/>
      <c r="AV108" s="620"/>
      <c r="AW108" s="620"/>
      <c r="AX108" s="620"/>
      <c r="AY108" s="620"/>
      <c r="AZ108" s="620"/>
      <c r="BA108" s="620"/>
      <c r="BB108" s="620"/>
      <c r="BC108" s="620"/>
      <c r="BD108" s="620"/>
      <c r="BE108" s="620"/>
      <c r="BF108" s="620"/>
      <c r="BG108" s="620"/>
      <c r="BH108" s="620"/>
      <c r="BI108" s="620"/>
      <c r="BJ108" s="620"/>
      <c r="BK108" s="620"/>
      <c r="BL108" s="620"/>
      <c r="BM108" s="620"/>
      <c r="BN108" s="620"/>
      <c r="BO108" s="620"/>
      <c r="BP108" s="620"/>
      <c r="BQ108" s="620"/>
      <c r="BR108" s="620"/>
      <c r="BS108" s="620"/>
      <c r="BT108" s="620"/>
      <c r="BU108" s="620"/>
      <c r="BV108" s="621"/>
      <c r="BW108" s="621"/>
      <c r="BX108" s="621"/>
      <c r="BY108" s="621"/>
      <c r="BZ108" s="621"/>
      <c r="CA108" s="621"/>
      <c r="CB108" s="621"/>
      <c r="CC108" s="621"/>
      <c r="CD108" s="621"/>
      <c r="CE108" s="621"/>
    </row>
    <row s="2437" customFormat="1" customHeight="1" ht="15">
      <c r="A109" s="619"/>
      <c r="B109" s="0"/>
      <c r="C109" s="0"/>
      <c r="D109" s="2344"/>
      <c r="E109" s="2207" t="s">
        <v>564</v>
      </c>
      <c r="F109" s="2208"/>
      <c r="G109" s="2209"/>
      <c r="H109" s="2202" t="str">
        <f>IF(A107="","",INDEX(DIFFERENTIATION_UNMERGE_SYSTEM,MATCH(A107,DIFFERENTIATION_ID_DIFF,0)))</f>
        <v/>
      </c>
      <c r="I109" s="2202"/>
      <c r="J109" s="2202"/>
      <c r="K109" s="2202"/>
      <c r="L109" s="2202"/>
      <c r="M109" s="2202"/>
      <c r="N109" s="2202"/>
      <c r="O109" s="2202"/>
      <c r="P109" s="2202"/>
      <c r="Q109" s="2202"/>
      <c r="R109" s="2202"/>
      <c r="S109" s="714"/>
      <c r="T109" s="711"/>
      <c r="U109" s="620"/>
      <c r="V109" s="620"/>
      <c r="W109" s="621"/>
      <c r="X109" s="621"/>
      <c r="Y109" s="621"/>
      <c r="Z109" s="621"/>
      <c r="AA109" s="622"/>
      <c r="AB109" s="623"/>
      <c r="AC109" s="2206"/>
      <c r="AD109" s="624"/>
      <c r="AE109" s="625"/>
      <c r="AF109" s="625"/>
      <c r="AG109" s="626"/>
      <c r="AH109" s="627"/>
      <c r="AI109" s="620"/>
      <c r="AJ109" s="620"/>
      <c r="AK109" s="620"/>
      <c r="AL109" s="620"/>
      <c r="AM109" s="620"/>
      <c r="AN109" s="620"/>
      <c r="AO109" s="620"/>
      <c r="AP109" s="620"/>
      <c r="AQ109" s="620"/>
      <c r="AR109" s="620"/>
      <c r="AS109" s="620"/>
      <c r="AT109" s="620"/>
      <c r="AU109" s="620"/>
      <c r="AV109" s="620"/>
      <c r="AW109" s="620"/>
      <c r="AX109" s="620"/>
      <c r="AY109" s="620"/>
      <c r="AZ109" s="620"/>
      <c r="BA109" s="620"/>
      <c r="BB109" s="620"/>
      <c r="BC109" s="620"/>
      <c r="BD109" s="620"/>
      <c r="BE109" s="620"/>
      <c r="BF109" s="620"/>
      <c r="BG109" s="620"/>
      <c r="BH109" s="620"/>
      <c r="BI109" s="620"/>
      <c r="BJ109" s="620"/>
      <c r="BK109" s="620"/>
      <c r="BL109" s="620"/>
      <c r="BM109" s="620"/>
      <c r="BN109" s="620"/>
      <c r="BO109" s="620"/>
      <c r="BP109" s="620"/>
      <c r="BQ109" s="620"/>
      <c r="BR109" s="620"/>
      <c r="BS109" s="620"/>
      <c r="BT109" s="620"/>
      <c r="BU109" s="620"/>
      <c r="BV109" s="621"/>
      <c r="BW109" s="621"/>
      <c r="BX109" s="621"/>
      <c r="BY109" s="621"/>
      <c r="BZ109" s="621"/>
      <c r="CA109" s="621"/>
      <c r="CB109" s="621"/>
      <c r="CC109" s="621"/>
      <c r="CD109" s="621"/>
      <c r="CE109" s="621"/>
    </row>
    <row s="2437" customFormat="1" customHeight="1" ht="24.75">
      <c r="A110" s="1831"/>
      <c r="B110" s="1155"/>
      <c r="C110" s="409"/>
      <c r="D110" s="2344"/>
      <c r="E110" s="2204" t="s">
        <v>609</v>
      </c>
      <c r="F110" s="2204"/>
      <c r="G110" s="2204"/>
      <c r="H110" s="2204"/>
      <c r="I110" s="2204"/>
      <c r="J110" s="2204"/>
      <c r="K110" s="2204"/>
      <c r="L110" s="2204"/>
      <c r="M110" s="2204"/>
      <c r="N110" s="2204"/>
      <c r="O110" s="2204"/>
      <c r="P110" s="2204"/>
      <c r="Q110" s="554">
        <f>SUMIF(T111:T112,"i",Q111:Q112)</f>
        <v>0</v>
      </c>
      <c r="R110" s="1012"/>
      <c r="S110" s="1823" t="s">
        <v>610</v>
      </c>
      <c r="T110" s="712" t="s">
        <v>611</v>
      </c>
      <c r="U110" s="2205">
        <v>1</v>
      </c>
      <c r="V110" s="2205" t="s">
        <v>574</v>
      </c>
      <c r="W110" s="1155"/>
      <c r="X110" s="1155"/>
      <c r="Y110" s="1155"/>
      <c r="Z110" s="1155"/>
      <c r="AA110" s="1661"/>
      <c r="AB110" s="1155"/>
      <c r="AC110" s="2206"/>
      <c r="AD110" s="624"/>
      <c r="AE110" s="1155"/>
      <c r="AF110" s="1155"/>
      <c r="AG110" s="1661"/>
      <c r="AH110" s="1661"/>
      <c r="AI110" s="1661"/>
      <c r="AJ110" s="1661"/>
      <c r="AK110" s="1661"/>
      <c r="AL110" s="1661"/>
      <c r="AM110" s="1661"/>
      <c r="AN110" s="1661"/>
      <c r="AO110" s="1661"/>
      <c r="AP110" s="1661"/>
      <c r="AQ110" s="1661"/>
      <c r="AR110" s="1661"/>
      <c r="AS110" s="1661"/>
      <c r="AT110" s="1661"/>
      <c r="AU110" s="1661"/>
      <c r="AV110" s="1661"/>
      <c r="AW110" s="1661"/>
      <c r="AX110" s="1661"/>
      <c r="AY110" s="1661"/>
      <c r="AZ110" s="1661"/>
      <c r="BA110" s="1661"/>
      <c r="BB110" s="1661"/>
      <c r="BC110" s="1661"/>
      <c r="BD110" s="1661"/>
      <c r="BE110" s="1661"/>
      <c r="BF110" s="1661"/>
      <c r="BG110" s="1661"/>
      <c r="BH110" s="1661"/>
      <c r="BI110" s="1661"/>
      <c r="BJ110" s="1661"/>
      <c r="BK110" s="1661"/>
      <c r="BL110" s="1661"/>
      <c r="BM110" s="1661"/>
      <c r="BN110" s="1661"/>
      <c r="BO110" s="1661"/>
      <c r="BP110" s="1661"/>
      <c r="BQ110" s="1661"/>
      <c r="BR110" s="1661"/>
      <c r="BS110" s="1661"/>
      <c r="BT110" s="1661"/>
      <c r="BU110" s="1661"/>
      <c r="BV110" s="1155"/>
      <c r="BW110" s="1155"/>
      <c r="BX110" s="1155"/>
      <c r="BY110" s="1155"/>
      <c r="BZ110" s="1155"/>
      <c r="CA110" s="1155"/>
      <c r="CB110" s="1155"/>
      <c r="CC110" s="1155"/>
      <c r="CD110" s="1155"/>
      <c r="CE110" s="1155"/>
    </row>
    <row s="2437" customFormat="1" customHeight="1" ht="11.25" hidden="1">
      <c r="A111" s="1818"/>
      <c r="B111" s="1661"/>
      <c r="C111" s="1661"/>
      <c r="D111" s="2344"/>
      <c r="E111" s="630"/>
      <c r="F111" s="630">
        <v>0</v>
      </c>
      <c r="G111" s="630"/>
      <c r="H111" s="630"/>
      <c r="I111" s="630"/>
      <c r="J111" s="630"/>
      <c r="K111" s="630"/>
      <c r="L111" s="630"/>
      <c r="M111" s="630"/>
      <c r="N111" s="630"/>
      <c r="O111" s="630"/>
      <c r="P111" s="630"/>
      <c r="Q111" s="630"/>
      <c r="R111" s="630"/>
      <c r="S111" s="631"/>
      <c r="T111" s="713"/>
      <c r="U111" s="2205"/>
      <c r="V111" s="2205"/>
      <c r="W111" s="1661"/>
      <c r="X111" s="1661"/>
      <c r="Y111" s="1661"/>
      <c r="Z111" s="1661"/>
      <c r="AA111" s="1661"/>
      <c r="AB111" s="1155"/>
      <c r="AC111" s="2206"/>
      <c r="AD111" s="624"/>
      <c r="AE111" s="1155"/>
      <c r="AF111" s="1155"/>
      <c r="AG111" s="1661"/>
      <c r="AH111" s="1661"/>
      <c r="AI111" s="1661"/>
      <c r="AJ111" s="1661"/>
      <c r="AK111" s="1661"/>
      <c r="AL111" s="1661"/>
      <c r="AM111" s="1661"/>
      <c r="AN111" s="1661"/>
      <c r="AO111" s="1661"/>
      <c r="AP111" s="1661"/>
      <c r="AQ111" s="1661"/>
      <c r="AR111" s="1661"/>
      <c r="AS111" s="1661"/>
      <c r="AT111" s="1661"/>
      <c r="AU111" s="1661"/>
      <c r="AV111" s="1661"/>
      <c r="AW111" s="1661"/>
      <c r="AX111" s="1661"/>
      <c r="AY111" s="1661"/>
      <c r="AZ111" s="1661"/>
      <c r="BA111" s="1661"/>
      <c r="BB111" s="1661"/>
      <c r="BC111" s="1661"/>
      <c r="BD111" s="1661"/>
      <c r="BE111" s="1661"/>
      <c r="BF111" s="1661"/>
      <c r="BG111" s="1661"/>
      <c r="BH111" s="1661"/>
      <c r="BI111" s="1661"/>
      <c r="BJ111" s="1661"/>
      <c r="BK111" s="1661"/>
      <c r="BL111" s="1661"/>
      <c r="BM111" s="1661"/>
      <c r="BN111" s="1661"/>
      <c r="BO111" s="1661"/>
      <c r="BP111" s="1661"/>
      <c r="BQ111" s="1661"/>
      <c r="BR111" s="1661"/>
      <c r="BS111" s="1661"/>
      <c r="BT111" s="1661"/>
      <c r="BU111" s="1661"/>
      <c r="BV111" s="1661"/>
      <c r="BW111" s="1661"/>
      <c r="BX111" s="1661"/>
      <c r="BY111" s="1661"/>
      <c r="BZ111" s="1661"/>
      <c r="CA111" s="1661"/>
      <c r="CB111" s="1661"/>
      <c r="CC111" s="1661"/>
      <c r="CD111" s="1661"/>
      <c r="CE111" s="1661"/>
    </row>
    <row s="2437" customFormat="1" customHeight="1" ht="11.25">
      <c r="A112" s="1831"/>
      <c r="B112" s="1155"/>
      <c r="C112" s="409"/>
      <c r="D112" s="2344"/>
      <c r="E112" s="644" t="s">
        <v>24</v>
      </c>
      <c r="F112" s="1163" t="s">
        <v>24</v>
      </c>
      <c r="G112" s="1163" t="s">
        <v>1159</v>
      </c>
      <c r="H112" s="646" t="s">
        <v>24</v>
      </c>
      <c r="I112" s="646"/>
      <c r="J112" s="646"/>
      <c r="K112" s="646"/>
      <c r="L112" s="646"/>
      <c r="M112" s="646"/>
      <c r="N112" s="646"/>
      <c r="O112" s="646"/>
      <c r="P112" s="646"/>
      <c r="Q112" s="646"/>
      <c r="R112" s="647"/>
      <c r="S112" s="648"/>
      <c r="T112" s="713"/>
      <c r="U112" s="2205"/>
      <c r="V112" s="2205"/>
      <c r="W112" s="1155"/>
      <c r="X112" s="1155"/>
      <c r="Y112" s="1155"/>
      <c r="Z112" s="1155"/>
      <c r="AA112" s="1661"/>
      <c r="AB112" s="1155"/>
      <c r="AC112" s="2206"/>
      <c r="AD112" s="624"/>
      <c r="AE112" s="1155"/>
      <c r="AF112" s="1155"/>
      <c r="AG112" s="1661"/>
      <c r="AH112" s="1661"/>
      <c r="AI112" s="1661"/>
      <c r="AJ112" s="1661"/>
      <c r="AK112" s="1661"/>
      <c r="AL112" s="1661"/>
      <c r="AM112" s="1661"/>
      <c r="AN112" s="1661"/>
      <c r="AO112" s="1661"/>
      <c r="AP112" s="1661"/>
      <c r="AQ112" s="1661"/>
      <c r="AR112" s="1661"/>
      <c r="AS112" s="1661"/>
      <c r="AT112" s="1661"/>
      <c r="AU112" s="1661"/>
      <c r="AV112" s="1661"/>
      <c r="AW112" s="1661"/>
      <c r="AX112" s="1661"/>
      <c r="AY112" s="1661"/>
      <c r="AZ112" s="1661"/>
      <c r="BA112" s="1661"/>
      <c r="BB112" s="1661"/>
      <c r="BC112" s="1661"/>
      <c r="BD112" s="1661"/>
      <c r="BE112" s="1661"/>
      <c r="BF112" s="1661"/>
      <c r="BG112" s="1661"/>
      <c r="BH112" s="1661"/>
      <c r="BI112" s="1661"/>
      <c r="BJ112" s="1661"/>
      <c r="BK112" s="1661"/>
      <c r="BL112" s="1661"/>
      <c r="BM112" s="1661"/>
      <c r="BN112" s="1661"/>
      <c r="BO112" s="1661"/>
      <c r="BP112" s="1661"/>
      <c r="BQ112" s="1661"/>
      <c r="BR112" s="1661"/>
      <c r="BS112" s="1661"/>
      <c r="BT112" s="1661"/>
      <c r="BU112" s="1661"/>
      <c r="BV112" s="1155"/>
      <c r="BW112" s="1155"/>
      <c r="BX112" s="1155"/>
      <c r="BY112" s="1155"/>
      <c r="BZ112" s="1155"/>
      <c r="CA112" s="1155"/>
      <c r="CB112" s="1155"/>
      <c r="CC112" s="1155"/>
      <c r="CD112" s="1155"/>
      <c r="CE112" s="1155"/>
    </row>
    <row s="2437" customFormat="1" customHeight="1" ht="24.75">
      <c r="A113" s="1831"/>
      <c r="B113" s="1155"/>
      <c r="C113" s="409"/>
      <c r="D113" s="2344"/>
      <c r="E113" s="2204" t="s">
        <v>612</v>
      </c>
      <c r="F113" s="2204"/>
      <c r="G113" s="2204"/>
      <c r="H113" s="2204"/>
      <c r="I113" s="2204"/>
      <c r="J113" s="2204"/>
      <c r="K113" s="2204"/>
      <c r="L113" s="2204"/>
      <c r="M113" s="2204"/>
      <c r="N113" s="2204"/>
      <c r="O113" s="2204"/>
      <c r="P113" s="2204"/>
      <c r="Q113" s="554">
        <f>SUMIF(T114:T115,"i",Q114:Q115)</f>
        <v>0</v>
      </c>
      <c r="R113" s="1012"/>
      <c r="S113" s="1823" t="s">
        <v>613</v>
      </c>
      <c r="T113" s="712" t="s">
        <v>611</v>
      </c>
      <c r="U113" s="2205">
        <v>1</v>
      </c>
      <c r="V113" s="2205" t="s">
        <v>574</v>
      </c>
      <c r="W113" s="1155"/>
      <c r="X113" s="1155"/>
      <c r="Y113" s="1155"/>
      <c r="Z113" s="1155"/>
      <c r="AA113" s="1661"/>
      <c r="AB113" s="1155"/>
      <c r="AC113" s="1821"/>
      <c r="AD113" s="624"/>
      <c r="AE113" s="1155"/>
      <c r="AF113" s="1155"/>
      <c r="AG113" s="1661"/>
      <c r="AH113" s="1661"/>
      <c r="AI113" s="1661"/>
      <c r="AJ113" s="1661"/>
      <c r="AK113" s="1661"/>
      <c r="AL113" s="1661"/>
      <c r="AM113" s="1661"/>
      <c r="AN113" s="1661"/>
      <c r="AO113" s="1661"/>
      <c r="AP113" s="1661"/>
      <c r="AQ113" s="1661"/>
      <c r="AR113" s="1661"/>
      <c r="AS113" s="1661"/>
      <c r="AT113" s="1661"/>
      <c r="AU113" s="1661"/>
      <c r="AV113" s="1661"/>
      <c r="AW113" s="1661"/>
      <c r="AX113" s="1661"/>
      <c r="AY113" s="1661"/>
      <c r="AZ113" s="1661"/>
      <c r="BA113" s="1661"/>
      <c r="BB113" s="1661"/>
      <c r="BC113" s="1661"/>
      <c r="BD113" s="1661"/>
      <c r="BE113" s="1661"/>
      <c r="BF113" s="1661"/>
      <c r="BG113" s="1661"/>
      <c r="BH113" s="1661"/>
      <c r="BI113" s="1661"/>
      <c r="BJ113" s="1661"/>
      <c r="BK113" s="1661"/>
      <c r="BL113" s="1661"/>
      <c r="BM113" s="1661"/>
      <c r="BN113" s="1661"/>
      <c r="BO113" s="1661"/>
      <c r="BP113" s="1661"/>
      <c r="BQ113" s="1661"/>
      <c r="BR113" s="1661"/>
      <c r="BS113" s="1661"/>
      <c r="BT113" s="1661"/>
      <c r="BU113" s="1661"/>
      <c r="BV113" s="1155"/>
      <c r="BW113" s="1155"/>
      <c r="BX113" s="1155"/>
      <c r="BY113" s="1155"/>
      <c r="BZ113" s="1155"/>
      <c r="CA113" s="1155"/>
      <c r="CB113" s="1155"/>
      <c r="CC113" s="1155"/>
      <c r="CD113" s="1155"/>
      <c r="CE113" s="1155"/>
    </row>
    <row s="2437" customFormat="1" customHeight="1" ht="11.25" hidden="1">
      <c r="A114" s="1818"/>
      <c r="B114" s="1661"/>
      <c r="C114" s="1661"/>
      <c r="D114" s="2344"/>
      <c r="E114" s="630"/>
      <c r="F114" s="630">
        <v>0</v>
      </c>
      <c r="G114" s="630"/>
      <c r="H114" s="630"/>
      <c r="I114" s="630"/>
      <c r="J114" s="630"/>
      <c r="K114" s="630"/>
      <c r="L114" s="630"/>
      <c r="M114" s="630"/>
      <c r="N114" s="630"/>
      <c r="O114" s="630"/>
      <c r="P114" s="630"/>
      <c r="Q114" s="630"/>
      <c r="R114" s="630"/>
      <c r="S114" s="631"/>
      <c r="T114" s="713"/>
      <c r="U114" s="2205"/>
      <c r="V114" s="2205"/>
      <c r="W114" s="1661"/>
      <c r="X114" s="1661"/>
      <c r="Y114" s="1661"/>
      <c r="Z114" s="1661"/>
      <c r="AA114" s="1661"/>
      <c r="AB114" s="1155"/>
      <c r="AC114" s="1821"/>
      <c r="AD114" s="624"/>
      <c r="AE114" s="1155"/>
      <c r="AF114" s="1155"/>
      <c r="AG114" s="1661"/>
      <c r="AH114" s="1661"/>
      <c r="AI114" s="1661"/>
      <c r="AJ114" s="1661"/>
      <c r="AK114" s="1661"/>
      <c r="AL114" s="1661"/>
      <c r="AM114" s="1661"/>
      <c r="AN114" s="1661"/>
      <c r="AO114" s="1661"/>
      <c r="AP114" s="1661"/>
      <c r="AQ114" s="1661"/>
      <c r="AR114" s="1661"/>
      <c r="AS114" s="1661"/>
      <c r="AT114" s="1661"/>
      <c r="AU114" s="1661"/>
      <c r="AV114" s="1661"/>
      <c r="AW114" s="1661"/>
      <c r="AX114" s="1661"/>
      <c r="AY114" s="1661"/>
      <c r="AZ114" s="1661"/>
      <c r="BA114" s="1661"/>
      <c r="BB114" s="1661"/>
      <c r="BC114" s="1661"/>
      <c r="BD114" s="1661"/>
      <c r="BE114" s="1661"/>
      <c r="BF114" s="1661"/>
      <c r="BG114" s="1661"/>
      <c r="BH114" s="1661"/>
      <c r="BI114" s="1661"/>
      <c r="BJ114" s="1661"/>
      <c r="BK114" s="1661"/>
      <c r="BL114" s="1661"/>
      <c r="BM114" s="1661"/>
      <c r="BN114" s="1661"/>
      <c r="BO114" s="1661"/>
      <c r="BP114" s="1661"/>
      <c r="BQ114" s="1661"/>
      <c r="BR114" s="1661"/>
      <c r="BS114" s="1661"/>
      <c r="BT114" s="1661"/>
      <c r="BU114" s="1661"/>
      <c r="BV114" s="1661"/>
      <c r="BW114" s="1661"/>
      <c r="BX114" s="1661"/>
      <c r="BY114" s="1661"/>
      <c r="BZ114" s="1661"/>
      <c r="CA114" s="1661"/>
      <c r="CB114" s="1661"/>
      <c r="CC114" s="1661"/>
      <c r="CD114" s="1661"/>
      <c r="CE114" s="1661"/>
    </row>
    <row s="2437" customFormat="1" customHeight="1" ht="11.25">
      <c r="A115" s="1831"/>
      <c r="B115" s="1155"/>
      <c r="C115" s="409"/>
      <c r="D115" s="2345"/>
      <c r="E115" s="644" t="s">
        <v>24</v>
      </c>
      <c r="F115" s="1163" t="s">
        <v>24</v>
      </c>
      <c r="G115" s="1163" t="s">
        <v>1159</v>
      </c>
      <c r="H115" s="646" t="s">
        <v>24</v>
      </c>
      <c r="I115" s="646"/>
      <c r="J115" s="646"/>
      <c r="K115" s="646"/>
      <c r="L115" s="646"/>
      <c r="M115" s="646"/>
      <c r="N115" s="646"/>
      <c r="O115" s="646"/>
      <c r="P115" s="646"/>
      <c r="Q115" s="646"/>
      <c r="R115" s="647"/>
      <c r="S115" s="648"/>
      <c r="T115" s="713"/>
      <c r="U115" s="2205"/>
      <c r="V115" s="2205"/>
      <c r="W115" s="1155"/>
      <c r="X115" s="1155"/>
      <c r="Y115" s="1155"/>
      <c r="Z115" s="1155"/>
      <c r="AA115" s="1661"/>
      <c r="AB115" s="1155"/>
      <c r="AC115" s="1821"/>
      <c r="AD115" s="624"/>
      <c r="AE115" s="1155"/>
      <c r="AF115" s="1155"/>
      <c r="AG115" s="1661"/>
      <c r="AH115" s="1661"/>
      <c r="AI115" s="1661"/>
      <c r="AJ115" s="1661"/>
      <c r="AK115" s="1661"/>
      <c r="AL115" s="1661"/>
      <c r="AM115" s="1661"/>
      <c r="AN115" s="1661"/>
      <c r="AO115" s="1661"/>
      <c r="AP115" s="1661"/>
      <c r="AQ115" s="1661"/>
      <c r="AR115" s="1661"/>
      <c r="AS115" s="1661"/>
      <c r="AT115" s="1661"/>
      <c r="AU115" s="1661"/>
      <c r="AV115" s="1661"/>
      <c r="AW115" s="1661"/>
      <c r="AX115" s="1661"/>
      <c r="AY115" s="1661"/>
      <c r="AZ115" s="1661"/>
      <c r="BA115" s="1661"/>
      <c r="BB115" s="1661"/>
      <c r="BC115" s="1661"/>
      <c r="BD115" s="1661"/>
      <c r="BE115" s="1661"/>
      <c r="BF115" s="1661"/>
      <c r="BG115" s="1661"/>
      <c r="BH115" s="1661"/>
      <c r="BI115" s="1661"/>
      <c r="BJ115" s="1661"/>
      <c r="BK115" s="1661"/>
      <c r="BL115" s="1661"/>
      <c r="BM115" s="1661"/>
      <c r="BN115" s="1661"/>
      <c r="BO115" s="1661"/>
      <c r="BP115" s="1661"/>
      <c r="BQ115" s="1661"/>
      <c r="BR115" s="1661"/>
      <c r="BS115" s="1661"/>
      <c r="BT115" s="1661"/>
      <c r="BU115" s="1661"/>
      <c r="BV115" s="1155"/>
      <c r="BW115" s="1155"/>
      <c r="BX115" s="1155"/>
      <c r="BY115" s="1155"/>
      <c r="BZ115" s="1155"/>
      <c r="CA115" s="1155"/>
      <c r="CB115" s="1155"/>
      <c r="CC115" s="1155"/>
      <c r="CD115" s="1155"/>
      <c r="CE115" s="1155"/>
    </row>
    <row r="117" s="1840" customFormat="1" customHeight="1" ht="11.25">
      <c r="A117" s="1840" t="s">
        <v>1160</v>
      </c>
    </row>
    <row r="119" s="2437" customFormat="1" customHeight="1" ht="15">
      <c r="A119" s="619"/>
      <c r="B119" s="0"/>
      <c r="C119" s="0"/>
      <c r="D119" s="2343" t="s">
        <v>108</v>
      </c>
      <c r="E119" s="2207" t="s">
        <v>104</v>
      </c>
      <c r="F119" s="2208"/>
      <c r="G119" s="2209"/>
      <c r="H119" s="2202" t="str">
        <f>IF(A119="","",INDEX(DIFFERENTIATION_UNMERGE_VD,MATCH(A119,DIFFERENTIATION_ID_DIFF,0)))</f>
        <v/>
      </c>
      <c r="I119" s="2202"/>
      <c r="J119" s="2202"/>
      <c r="K119" s="2202"/>
      <c r="L119" s="2202"/>
      <c r="M119" s="2202"/>
      <c r="N119" s="2202"/>
      <c r="O119" s="2202"/>
      <c r="P119" s="2202"/>
      <c r="Q119" s="2202"/>
      <c r="R119" s="2202"/>
      <c r="S119" s="714"/>
      <c r="T119" s="711"/>
      <c r="U119" s="620"/>
      <c r="V119" s="620"/>
      <c r="W119" s="621"/>
      <c r="X119" s="621"/>
      <c r="Y119" s="621"/>
      <c r="Z119" s="621"/>
      <c r="AA119" s="622"/>
      <c r="AB119" s="623"/>
      <c r="AC119" s="2206"/>
      <c r="AD119" s="624"/>
      <c r="AE119" s="625" t="s">
        <v>24</v>
      </c>
      <c r="AF119" s="625"/>
      <c r="AG119" s="626" t="s">
        <v>608</v>
      </c>
      <c r="AH119" s="627">
        <v>3</v>
      </c>
      <c r="AI119" s="620"/>
      <c r="AJ119" s="620"/>
      <c r="AK119" s="620"/>
      <c r="AL119" s="620"/>
      <c r="AM119" s="620"/>
      <c r="AN119" s="620"/>
      <c r="AO119" s="620"/>
      <c r="AP119" s="620"/>
      <c r="AQ119" s="620"/>
      <c r="AR119" s="620"/>
      <c r="AS119" s="620"/>
      <c r="AT119" s="620"/>
      <c r="AU119" s="620"/>
      <c r="AV119" s="620"/>
      <c r="AW119" s="620"/>
      <c r="AX119" s="620"/>
      <c r="AY119" s="620"/>
      <c r="AZ119" s="620"/>
      <c r="BA119" s="620"/>
      <c r="BB119" s="620"/>
      <c r="BC119" s="620"/>
      <c r="BD119" s="620"/>
      <c r="BE119" s="620"/>
      <c r="BF119" s="620"/>
      <c r="BG119" s="620"/>
      <c r="BH119" s="620"/>
      <c r="BI119" s="620"/>
      <c r="BJ119" s="620"/>
      <c r="BK119" s="620"/>
      <c r="BL119" s="620"/>
      <c r="BM119" s="620"/>
      <c r="BN119" s="620"/>
      <c r="BO119" s="620"/>
      <c r="BP119" s="620"/>
      <c r="BQ119" s="620"/>
      <c r="BR119" s="620"/>
      <c r="BS119" s="620"/>
      <c r="BT119" s="620"/>
      <c r="BU119" s="620"/>
      <c r="BV119" s="621"/>
      <c r="BW119" s="621"/>
      <c r="BX119" s="621"/>
      <c r="BY119" s="621"/>
      <c r="BZ119" s="621"/>
      <c r="CA119" s="621"/>
      <c r="CB119" s="621"/>
      <c r="CC119" s="621"/>
      <c r="CD119" s="621"/>
      <c r="CE119" s="621"/>
    </row>
    <row s="2437" customFormat="1" customHeight="1" ht="15">
      <c r="A120" s="619"/>
      <c r="B120" s="0"/>
      <c r="C120" s="0"/>
      <c r="D120" s="2344"/>
      <c r="E120" s="2207" t="s">
        <v>563</v>
      </c>
      <c r="F120" s="2208"/>
      <c r="G120" s="2209"/>
      <c r="H120" s="2202" t="str">
        <f>IF(A119="","",INDEX(DIFFERENTIATION_UNMERGE_AREA,MATCH(A119,DIFFERENTIATION_ID_DIFF,0)))</f>
        <v/>
      </c>
      <c r="I120" s="2202"/>
      <c r="J120" s="2202"/>
      <c r="K120" s="2202"/>
      <c r="L120" s="2202"/>
      <c r="M120" s="2202"/>
      <c r="N120" s="2202"/>
      <c r="O120" s="2202"/>
      <c r="P120" s="2202"/>
      <c r="Q120" s="2202"/>
      <c r="R120" s="2202"/>
      <c r="S120" s="714"/>
      <c r="T120" s="711"/>
      <c r="U120" s="620"/>
      <c r="V120" s="620"/>
      <c r="W120" s="621"/>
      <c r="X120" s="621"/>
      <c r="Y120" s="621"/>
      <c r="Z120" s="621"/>
      <c r="AA120" s="622"/>
      <c r="AB120" s="623"/>
      <c r="AC120" s="2206"/>
      <c r="AD120" s="624"/>
      <c r="AE120" s="625"/>
      <c r="AF120" s="625"/>
      <c r="AG120" s="626"/>
      <c r="AH120" s="627"/>
      <c r="AI120" s="620"/>
      <c r="AJ120" s="620"/>
      <c r="AK120" s="620"/>
      <c r="AL120" s="620"/>
      <c r="AM120" s="620"/>
      <c r="AN120" s="620"/>
      <c r="AO120" s="620"/>
      <c r="AP120" s="620"/>
      <c r="AQ120" s="620"/>
      <c r="AR120" s="620"/>
      <c r="AS120" s="620"/>
      <c r="AT120" s="620"/>
      <c r="AU120" s="620"/>
      <c r="AV120" s="620"/>
      <c r="AW120" s="620"/>
      <c r="AX120" s="620"/>
      <c r="AY120" s="620"/>
      <c r="AZ120" s="620"/>
      <c r="BA120" s="620"/>
      <c r="BB120" s="620"/>
      <c r="BC120" s="620"/>
      <c r="BD120" s="620"/>
      <c r="BE120" s="620"/>
      <c r="BF120" s="620"/>
      <c r="BG120" s="620"/>
      <c r="BH120" s="620"/>
      <c r="BI120" s="620"/>
      <c r="BJ120" s="620"/>
      <c r="BK120" s="620"/>
      <c r="BL120" s="620"/>
      <c r="BM120" s="620"/>
      <c r="BN120" s="620"/>
      <c r="BO120" s="620"/>
      <c r="BP120" s="620"/>
      <c r="BQ120" s="620"/>
      <c r="BR120" s="620"/>
      <c r="BS120" s="620"/>
      <c r="BT120" s="620"/>
      <c r="BU120" s="620"/>
      <c r="BV120" s="621"/>
      <c r="BW120" s="621"/>
      <c r="BX120" s="621"/>
      <c r="BY120" s="621"/>
      <c r="BZ120" s="621"/>
      <c r="CA120" s="621"/>
      <c r="CB120" s="621"/>
      <c r="CC120" s="621"/>
      <c r="CD120" s="621"/>
      <c r="CE120" s="621"/>
    </row>
    <row s="2437" customFormat="1" customHeight="1" ht="15">
      <c r="A121" s="619"/>
      <c r="B121" s="0"/>
      <c r="C121" s="0"/>
      <c r="D121" s="2344"/>
      <c r="E121" s="2207" t="s">
        <v>564</v>
      </c>
      <c r="F121" s="2208"/>
      <c r="G121" s="2209"/>
      <c r="H121" s="2202" t="str">
        <f>IF(A119="","",INDEX(DIFFERENTIATION_UNMERGE_SYSTEM,MATCH(A119,DIFFERENTIATION_ID_DIFF,0)))</f>
        <v/>
      </c>
      <c r="I121" s="2202"/>
      <c r="J121" s="2202"/>
      <c r="K121" s="2202"/>
      <c r="L121" s="2202"/>
      <c r="M121" s="2202"/>
      <c r="N121" s="2202"/>
      <c r="O121" s="2202"/>
      <c r="P121" s="2202"/>
      <c r="Q121" s="2202"/>
      <c r="R121" s="2202"/>
      <c r="S121" s="714"/>
      <c r="T121" s="711"/>
      <c r="U121" s="620"/>
      <c r="V121" s="620"/>
      <c r="W121" s="621"/>
      <c r="X121" s="621"/>
      <c r="Y121" s="621"/>
      <c r="Z121" s="621"/>
      <c r="AA121" s="622"/>
      <c r="AB121" s="623"/>
      <c r="AC121" s="2206"/>
      <c r="AD121" s="624"/>
      <c r="AE121" s="625"/>
      <c r="AF121" s="625"/>
      <c r="AG121" s="626"/>
      <c r="AH121" s="627"/>
      <c r="AI121" s="620"/>
      <c r="AJ121" s="620"/>
      <c r="AK121" s="620"/>
      <c r="AL121" s="620"/>
      <c r="AM121" s="620"/>
      <c r="AN121" s="620"/>
      <c r="AO121" s="620"/>
      <c r="AP121" s="620"/>
      <c r="AQ121" s="620"/>
      <c r="AR121" s="620"/>
      <c r="AS121" s="620"/>
      <c r="AT121" s="620"/>
      <c r="AU121" s="620"/>
      <c r="AV121" s="620"/>
      <c r="AW121" s="620"/>
      <c r="AX121" s="620"/>
      <c r="AY121" s="620"/>
      <c r="AZ121" s="620"/>
      <c r="BA121" s="620"/>
      <c r="BB121" s="620"/>
      <c r="BC121" s="620"/>
      <c r="BD121" s="620"/>
      <c r="BE121" s="620"/>
      <c r="BF121" s="620"/>
      <c r="BG121" s="620"/>
      <c r="BH121" s="620"/>
      <c r="BI121" s="620"/>
      <c r="BJ121" s="620"/>
      <c r="BK121" s="620"/>
      <c r="BL121" s="620"/>
      <c r="BM121" s="620"/>
      <c r="BN121" s="620"/>
      <c r="BO121" s="620"/>
      <c r="BP121" s="620"/>
      <c r="BQ121" s="620"/>
      <c r="BR121" s="620"/>
      <c r="BS121" s="620"/>
      <c r="BT121" s="620"/>
      <c r="BU121" s="620"/>
      <c r="BV121" s="621"/>
      <c r="BW121" s="621"/>
      <c r="BX121" s="621"/>
      <c r="BY121" s="621"/>
      <c r="BZ121" s="621"/>
      <c r="CA121" s="621"/>
      <c r="CB121" s="621"/>
      <c r="CC121" s="621"/>
      <c r="CD121" s="621"/>
      <c r="CE121" s="621"/>
    </row>
    <row s="2437" customFormat="1" customHeight="1" ht="24.75">
      <c r="A122" s="1831"/>
      <c r="B122" s="1155"/>
      <c r="C122" s="409"/>
      <c r="D122" s="2344"/>
      <c r="E122" s="2204" t="s">
        <v>609</v>
      </c>
      <c r="F122" s="2204"/>
      <c r="G122" s="2204"/>
      <c r="H122" s="2204"/>
      <c r="I122" s="2204"/>
      <c r="J122" s="2204"/>
      <c r="K122" s="2204"/>
      <c r="L122" s="2204"/>
      <c r="M122" s="2204"/>
      <c r="N122" s="2204"/>
      <c r="O122" s="2204"/>
      <c r="P122" s="2204"/>
      <c r="Q122" s="554">
        <f>SUMIF(T123:T124,"i",Q123:Q124)</f>
        <v>0</v>
      </c>
      <c r="R122" s="1012"/>
      <c r="S122" s="1823" t="s">
        <v>610</v>
      </c>
      <c r="T122" s="712" t="s">
        <v>611</v>
      </c>
      <c r="U122" s="2205">
        <v>1</v>
      </c>
      <c r="V122" s="2205" t="s">
        <v>574</v>
      </c>
      <c r="W122" s="1155"/>
      <c r="X122" s="1155"/>
      <c r="Y122" s="1155"/>
      <c r="Z122" s="1155"/>
      <c r="AA122" s="1661"/>
      <c r="AB122" s="1155"/>
      <c r="AC122" s="2206"/>
      <c r="AD122" s="624"/>
      <c r="AE122" s="1155"/>
      <c r="AF122" s="1155"/>
      <c r="AG122" s="1661"/>
      <c r="AH122" s="1661"/>
      <c r="AI122" s="1661"/>
      <c r="AJ122" s="1661"/>
      <c r="AK122" s="1661"/>
      <c r="AL122" s="1661"/>
      <c r="AM122" s="1661"/>
      <c r="AN122" s="1661"/>
      <c r="AO122" s="1661"/>
      <c r="AP122" s="1661"/>
      <c r="AQ122" s="1661"/>
      <c r="AR122" s="1661"/>
      <c r="AS122" s="1661"/>
      <c r="AT122" s="1661"/>
      <c r="AU122" s="1661"/>
      <c r="AV122" s="1661"/>
      <c r="AW122" s="1661"/>
      <c r="AX122" s="1661"/>
      <c r="AY122" s="1661"/>
      <c r="AZ122" s="1661"/>
      <c r="BA122" s="1661"/>
      <c r="BB122" s="1661"/>
      <c r="BC122" s="1661"/>
      <c r="BD122" s="1661"/>
      <c r="BE122" s="1661"/>
      <c r="BF122" s="1661"/>
      <c r="BG122" s="1661"/>
      <c r="BH122" s="1661"/>
      <c r="BI122" s="1661"/>
      <c r="BJ122" s="1661"/>
      <c r="BK122" s="1661"/>
      <c r="BL122" s="1661"/>
      <c r="BM122" s="1661"/>
      <c r="BN122" s="1661"/>
      <c r="BO122" s="1661"/>
      <c r="BP122" s="1661"/>
      <c r="BQ122" s="1661"/>
      <c r="BR122" s="1661"/>
      <c r="BS122" s="1661"/>
      <c r="BT122" s="1661"/>
      <c r="BU122" s="1661"/>
      <c r="BV122" s="1155"/>
      <c r="BW122" s="1155"/>
      <c r="BX122" s="1155"/>
      <c r="BY122" s="1155"/>
      <c r="BZ122" s="1155"/>
      <c r="CA122" s="1155"/>
      <c r="CB122" s="1155"/>
      <c r="CC122" s="1155"/>
      <c r="CD122" s="1155"/>
      <c r="CE122" s="1155"/>
    </row>
    <row s="2437" customFormat="1" customHeight="1" ht="11.25" hidden="1">
      <c r="A123" s="1818"/>
      <c r="B123" s="1661"/>
      <c r="C123" s="1661"/>
      <c r="D123" s="2344"/>
      <c r="E123" s="630"/>
      <c r="F123" s="630">
        <v>0</v>
      </c>
      <c r="G123" s="630"/>
      <c r="H123" s="630"/>
      <c r="I123" s="630"/>
      <c r="J123" s="630"/>
      <c r="K123" s="630"/>
      <c r="L123" s="630"/>
      <c r="M123" s="630"/>
      <c r="N123" s="630"/>
      <c r="O123" s="630"/>
      <c r="P123" s="630"/>
      <c r="Q123" s="630"/>
      <c r="R123" s="630"/>
      <c r="S123" s="631"/>
      <c r="T123" s="713"/>
      <c r="U123" s="2205"/>
      <c r="V123" s="2205"/>
      <c r="W123" s="1661"/>
      <c r="X123" s="1661"/>
      <c r="Y123" s="1661"/>
      <c r="Z123" s="1661"/>
      <c r="AA123" s="1661"/>
      <c r="AB123" s="1155"/>
      <c r="AC123" s="2206"/>
      <c r="AD123" s="624"/>
      <c r="AE123" s="1155"/>
      <c r="AF123" s="1155"/>
      <c r="AG123" s="1661"/>
      <c r="AH123" s="1661"/>
      <c r="AI123" s="1661"/>
      <c r="AJ123" s="1661"/>
      <c r="AK123" s="1661"/>
      <c r="AL123" s="1661"/>
      <c r="AM123" s="1661"/>
      <c r="AN123" s="1661"/>
      <c r="AO123" s="1661"/>
      <c r="AP123" s="1661"/>
      <c r="AQ123" s="1661"/>
      <c r="AR123" s="1661"/>
      <c r="AS123" s="1661"/>
      <c r="AT123" s="1661"/>
      <c r="AU123" s="1661"/>
      <c r="AV123" s="1661"/>
      <c r="AW123" s="1661"/>
      <c r="AX123" s="1661"/>
      <c r="AY123" s="1661"/>
      <c r="AZ123" s="1661"/>
      <c r="BA123" s="1661"/>
      <c r="BB123" s="1661"/>
      <c r="BC123" s="1661"/>
      <c r="BD123" s="1661"/>
      <c r="BE123" s="1661"/>
      <c r="BF123" s="1661"/>
      <c r="BG123" s="1661"/>
      <c r="BH123" s="1661"/>
      <c r="BI123" s="1661"/>
      <c r="BJ123" s="1661"/>
      <c r="BK123" s="1661"/>
      <c r="BL123" s="1661"/>
      <c r="BM123" s="1661"/>
      <c r="BN123" s="1661"/>
      <c r="BO123" s="1661"/>
      <c r="BP123" s="1661"/>
      <c r="BQ123" s="1661"/>
      <c r="BR123" s="1661"/>
      <c r="BS123" s="1661"/>
      <c r="BT123" s="1661"/>
      <c r="BU123" s="1661"/>
      <c r="BV123" s="1661"/>
      <c r="BW123" s="1661"/>
      <c r="BX123" s="1661"/>
      <c r="BY123" s="1661"/>
      <c r="BZ123" s="1661"/>
      <c r="CA123" s="1661"/>
      <c r="CB123" s="1661"/>
      <c r="CC123" s="1661"/>
      <c r="CD123" s="1661"/>
      <c r="CE123" s="1661"/>
    </row>
    <row s="2437" customFormat="1" customHeight="1" ht="11.25">
      <c r="A124" s="1831"/>
      <c r="B124" s="1155"/>
      <c r="C124" s="409"/>
      <c r="D124" s="2344"/>
      <c r="E124" s="644" t="s">
        <v>24</v>
      </c>
      <c r="F124" s="1163" t="s">
        <v>24</v>
      </c>
      <c r="G124" s="1163" t="s">
        <v>1159</v>
      </c>
      <c r="H124" s="646" t="s">
        <v>24</v>
      </c>
      <c r="I124" s="646"/>
      <c r="J124" s="646"/>
      <c r="K124" s="646"/>
      <c r="L124" s="646"/>
      <c r="M124" s="646"/>
      <c r="N124" s="646"/>
      <c r="O124" s="646"/>
      <c r="P124" s="646"/>
      <c r="Q124" s="646"/>
      <c r="R124" s="647"/>
      <c r="S124" s="648"/>
      <c r="T124" s="713"/>
      <c r="U124" s="2205"/>
      <c r="V124" s="2205"/>
      <c r="W124" s="1155"/>
      <c r="X124" s="1155"/>
      <c r="Y124" s="1155"/>
      <c r="Z124" s="1155"/>
      <c r="AA124" s="1661"/>
      <c r="AB124" s="1155"/>
      <c r="AC124" s="2206"/>
      <c r="AD124" s="624"/>
      <c r="AE124" s="1155"/>
      <c r="AF124" s="1155"/>
      <c r="AG124" s="1661"/>
      <c r="AH124" s="1661"/>
      <c r="AI124" s="1661"/>
      <c r="AJ124" s="1661"/>
      <c r="AK124" s="1661"/>
      <c r="AL124" s="1661"/>
      <c r="AM124" s="1661"/>
      <c r="AN124" s="1661"/>
      <c r="AO124" s="1661"/>
      <c r="AP124" s="1661"/>
      <c r="AQ124" s="1661"/>
      <c r="AR124" s="1661"/>
      <c r="AS124" s="1661"/>
      <c r="AT124" s="1661"/>
      <c r="AU124" s="1661"/>
      <c r="AV124" s="1661"/>
      <c r="AW124" s="1661"/>
      <c r="AX124" s="1661"/>
      <c r="AY124" s="1661"/>
      <c r="AZ124" s="1661"/>
      <c r="BA124" s="1661"/>
      <c r="BB124" s="1661"/>
      <c r="BC124" s="1661"/>
      <c r="BD124" s="1661"/>
      <c r="BE124" s="1661"/>
      <c r="BF124" s="1661"/>
      <c r="BG124" s="1661"/>
      <c r="BH124" s="1661"/>
      <c r="BI124" s="1661"/>
      <c r="BJ124" s="1661"/>
      <c r="BK124" s="1661"/>
      <c r="BL124" s="1661"/>
      <c r="BM124" s="1661"/>
      <c r="BN124" s="1661"/>
      <c r="BO124" s="1661"/>
      <c r="BP124" s="1661"/>
      <c r="BQ124" s="1661"/>
      <c r="BR124" s="1661"/>
      <c r="BS124" s="1661"/>
      <c r="BT124" s="1661"/>
      <c r="BU124" s="1661"/>
      <c r="BV124" s="1155"/>
      <c r="BW124" s="1155"/>
      <c r="BX124" s="1155"/>
      <c r="BY124" s="1155"/>
      <c r="BZ124" s="1155"/>
      <c r="CA124" s="1155"/>
      <c r="CB124" s="1155"/>
      <c r="CC124" s="1155"/>
      <c r="CD124" s="1155"/>
      <c r="CE124" s="1155"/>
    </row>
    <row s="1333" customFormat="1" customHeight="1" ht="5.25" hidden="1">
      <c r="A125" s="1818"/>
      <c r="B125" s="1661"/>
      <c r="C125" s="1661"/>
      <c r="D125" s="2344"/>
      <c r="E125" s="1034"/>
      <c r="F125" s="1034"/>
      <c r="G125" s="1034"/>
      <c r="H125" s="1034"/>
      <c r="I125" s="1034"/>
      <c r="J125" s="1034"/>
      <c r="K125" s="1034"/>
      <c r="L125" s="1034"/>
      <c r="M125" s="1034"/>
      <c r="N125" s="1034"/>
      <c r="O125" s="1034"/>
      <c r="P125" s="1034"/>
      <c r="Q125" s="1035"/>
      <c r="R125" s="1036"/>
      <c r="S125" s="1037"/>
      <c r="T125" s="712" t="s">
        <v>611</v>
      </c>
      <c r="U125" s="2205">
        <v>1</v>
      </c>
      <c r="V125" s="2205" t="s">
        <v>574</v>
      </c>
      <c r="W125" s="1661"/>
      <c r="X125" s="1661"/>
      <c r="Y125" s="1661"/>
      <c r="Z125" s="1661"/>
      <c r="AA125" s="1661"/>
      <c r="AB125" s="1661"/>
      <c r="AC125" s="1032"/>
      <c r="AD125" s="1033"/>
      <c r="AE125" s="1661"/>
      <c r="AF125" s="1661"/>
      <c r="AG125" s="1661"/>
      <c r="AH125" s="1661"/>
      <c r="AI125" s="1661"/>
      <c r="AJ125" s="1661"/>
      <c r="AK125" s="1661"/>
      <c r="AL125" s="1661"/>
      <c r="AM125" s="1661"/>
      <c r="AN125" s="1661"/>
      <c r="AO125" s="1661"/>
      <c r="AP125" s="1661"/>
      <c r="AQ125" s="1661"/>
      <c r="AR125" s="1661"/>
      <c r="AS125" s="1661"/>
      <c r="AT125" s="1661"/>
      <c r="AU125" s="1661"/>
      <c r="AV125" s="1661"/>
      <c r="AW125" s="1661"/>
      <c r="AX125" s="1661"/>
      <c r="AY125" s="1661"/>
      <c r="AZ125" s="1661"/>
      <c r="BA125" s="1661"/>
      <c r="BB125" s="1661"/>
      <c r="BC125" s="1661"/>
      <c r="BD125" s="1661"/>
      <c r="BE125" s="1661"/>
      <c r="BF125" s="1661"/>
      <c r="BG125" s="1661"/>
      <c r="BH125" s="1661"/>
      <c r="BI125" s="1661"/>
      <c r="BJ125" s="1661"/>
      <c r="BK125" s="1661"/>
      <c r="BL125" s="1661"/>
      <c r="BM125" s="1661"/>
      <c r="BN125" s="1661"/>
      <c r="BO125" s="1661"/>
      <c r="BP125" s="1661"/>
      <c r="BQ125" s="1661"/>
      <c r="BR125" s="1661"/>
      <c r="BS125" s="1661"/>
      <c r="BT125" s="1661"/>
      <c r="BU125" s="1661"/>
      <c r="BV125" s="1661"/>
      <c r="BW125" s="1661"/>
      <c r="BX125" s="1661"/>
      <c r="BY125" s="1661"/>
      <c r="BZ125" s="1661"/>
      <c r="CA125" s="1661"/>
      <c r="CB125" s="1661"/>
      <c r="CC125" s="1661"/>
      <c r="CD125" s="1661"/>
      <c r="CE125" s="1661"/>
    </row>
    <row s="1333" customFormat="1" customHeight="1" ht="5.25" hidden="1">
      <c r="A126" s="1818"/>
      <c r="B126" s="1661"/>
      <c r="C126" s="1661"/>
      <c r="D126" s="2344"/>
      <c r="E126" s="630"/>
      <c r="F126" s="630"/>
      <c r="G126" s="630"/>
      <c r="H126" s="630"/>
      <c r="I126" s="630"/>
      <c r="J126" s="630"/>
      <c r="K126" s="630"/>
      <c r="L126" s="630"/>
      <c r="M126" s="630"/>
      <c r="N126" s="630"/>
      <c r="O126" s="630"/>
      <c r="P126" s="630"/>
      <c r="Q126" s="630"/>
      <c r="R126" s="630"/>
      <c r="S126" s="631"/>
      <c r="T126" s="713"/>
      <c r="U126" s="2205"/>
      <c r="V126" s="2205"/>
      <c r="W126" s="1661"/>
      <c r="X126" s="1661"/>
      <c r="Y126" s="1661"/>
      <c r="Z126" s="1661"/>
      <c r="AA126" s="1661"/>
      <c r="AB126" s="1661"/>
      <c r="AC126" s="1032"/>
      <c r="AD126" s="1033"/>
      <c r="AE126" s="1661"/>
      <c r="AF126" s="1661"/>
      <c r="AG126" s="1661"/>
      <c r="AH126" s="1661"/>
      <c r="AI126" s="1661"/>
      <c r="AJ126" s="1661"/>
      <c r="AK126" s="1661"/>
      <c r="AL126" s="1661"/>
      <c r="AM126" s="1661"/>
      <c r="AN126" s="1661"/>
      <c r="AO126" s="1661"/>
      <c r="AP126" s="1661"/>
      <c r="AQ126" s="1661"/>
      <c r="AR126" s="1661"/>
      <c r="AS126" s="1661"/>
      <c r="AT126" s="1661"/>
      <c r="AU126" s="1661"/>
      <c r="AV126" s="1661"/>
      <c r="AW126" s="1661"/>
      <c r="AX126" s="1661"/>
      <c r="AY126" s="1661"/>
      <c r="AZ126" s="1661"/>
      <c r="BA126" s="1661"/>
      <c r="BB126" s="1661"/>
      <c r="BC126" s="1661"/>
      <c r="BD126" s="1661"/>
      <c r="BE126" s="1661"/>
      <c r="BF126" s="1661"/>
      <c r="BG126" s="1661"/>
      <c r="BH126" s="1661"/>
      <c r="BI126" s="1661"/>
      <c r="BJ126" s="1661"/>
      <c r="BK126" s="1661"/>
      <c r="BL126" s="1661"/>
      <c r="BM126" s="1661"/>
      <c r="BN126" s="1661"/>
      <c r="BO126" s="1661"/>
      <c r="BP126" s="1661"/>
      <c r="BQ126" s="1661"/>
      <c r="BR126" s="1661"/>
      <c r="BS126" s="1661"/>
      <c r="BT126" s="1661"/>
      <c r="BU126" s="1661"/>
      <c r="BV126" s="1661"/>
      <c r="BW126" s="1661"/>
      <c r="BX126" s="1661"/>
      <c r="BY126" s="1661"/>
      <c r="BZ126" s="1661"/>
      <c r="CA126" s="1661"/>
      <c r="CB126" s="1661"/>
      <c r="CC126" s="1661"/>
      <c r="CD126" s="1661"/>
      <c r="CE126" s="1661"/>
    </row>
    <row s="1333" customFormat="1" customHeight="1" ht="5.25" hidden="1">
      <c r="A127" s="1818"/>
      <c r="B127" s="1661"/>
      <c r="C127" s="1661"/>
      <c r="D127" s="2345"/>
      <c r="E127" s="1038"/>
      <c r="F127" s="1039"/>
      <c r="G127" s="1039"/>
      <c r="H127" s="1040"/>
      <c r="I127" s="1040"/>
      <c r="J127" s="1040"/>
      <c r="K127" s="1040"/>
      <c r="L127" s="1040"/>
      <c r="M127" s="1040"/>
      <c r="N127" s="1040"/>
      <c r="O127" s="1040"/>
      <c r="P127" s="1040"/>
      <c r="Q127" s="1040"/>
      <c r="R127" s="941"/>
      <c r="S127" s="1041"/>
      <c r="T127" s="713"/>
      <c r="U127" s="2205"/>
      <c r="V127" s="2205"/>
      <c r="W127" s="1661"/>
      <c r="X127" s="1661"/>
      <c r="Y127" s="1661"/>
      <c r="Z127" s="1661"/>
      <c r="AA127" s="1661"/>
      <c r="AB127" s="1661"/>
      <c r="AC127" s="1032"/>
      <c r="AD127" s="1033"/>
      <c r="AE127" s="1661"/>
      <c r="AF127" s="1661"/>
      <c r="AG127" s="1661"/>
      <c r="AH127" s="1661"/>
      <c r="AI127" s="1661"/>
      <c r="AJ127" s="1661"/>
      <c r="AK127" s="1661"/>
      <c r="AL127" s="1661"/>
      <c r="AM127" s="1661"/>
      <c r="AN127" s="1661"/>
      <c r="AO127" s="1661"/>
      <c r="AP127" s="1661"/>
      <c r="AQ127" s="1661"/>
      <c r="AR127" s="1661"/>
      <c r="AS127" s="1661"/>
      <c r="AT127" s="1661"/>
      <c r="AU127" s="1661"/>
      <c r="AV127" s="1661"/>
      <c r="AW127" s="1661"/>
      <c r="AX127" s="1661"/>
      <c r="AY127" s="1661"/>
      <c r="AZ127" s="1661"/>
      <c r="BA127" s="1661"/>
      <c r="BB127" s="1661"/>
      <c r="BC127" s="1661"/>
      <c r="BD127" s="1661"/>
      <c r="BE127" s="1661"/>
      <c r="BF127" s="1661"/>
      <c r="BG127" s="1661"/>
      <c r="BH127" s="1661"/>
      <c r="BI127" s="1661"/>
      <c r="BJ127" s="1661"/>
      <c r="BK127" s="1661"/>
      <c r="BL127" s="1661"/>
      <c r="BM127" s="1661"/>
      <c r="BN127" s="1661"/>
      <c r="BO127" s="1661"/>
      <c r="BP127" s="1661"/>
      <c r="BQ127" s="1661"/>
      <c r="BR127" s="1661"/>
      <c r="BS127" s="1661"/>
      <c r="BT127" s="1661"/>
      <c r="BU127" s="1661"/>
      <c r="BV127" s="1661"/>
      <c r="BW127" s="1661"/>
      <c r="BX127" s="1661"/>
      <c r="BY127" s="1661"/>
      <c r="BZ127" s="1661"/>
      <c r="CA127" s="1661"/>
      <c r="CB127" s="1661"/>
      <c r="CC127" s="1661"/>
      <c r="CD127" s="1661"/>
      <c r="CE127" s="1661"/>
    </row>
    <row customHeight="1" ht="17.25">
      <c r="D128" s="1860"/>
    </row>
    <row s="1840" customFormat="1" customHeight="1" ht="11.25">
      <c r="A129" s="1840" t="s">
        <v>1161</v>
      </c>
    </row>
    <row r="131" s="2437" customFormat="1" customHeight="1" ht="45">
      <c r="A131" s="1831"/>
      <c r="B131" s="1155"/>
      <c r="C131" s="409"/>
      <c r="D131" s="0"/>
      <c r="E131" s="2355"/>
      <c r="F131" s="1964" t="s">
        <v>108</v>
      </c>
      <c r="G131" s="2358" t="s">
        <v>24</v>
      </c>
      <c r="H131" s="270"/>
      <c r="I131" s="632" t="s">
        <v>108</v>
      </c>
      <c r="J131" s="1832" t="s">
        <v>1162</v>
      </c>
      <c r="K131" s="633" t="s">
        <v>545</v>
      </c>
      <c r="L131" s="2055" t="s">
        <v>545</v>
      </c>
      <c r="M131" s="2360"/>
      <c r="N131" s="633" t="s">
        <v>545</v>
      </c>
      <c r="O131" s="633" t="s">
        <v>545</v>
      </c>
      <c r="P131" s="633" t="s">
        <v>545</v>
      </c>
      <c r="Q131" s="634">
        <f>SUM(Q132:Q134)</f>
        <v>0</v>
      </c>
      <c r="R131" s="634">
        <f>IF(R128=0,0,(Q128/R128)*100)</f>
        <v>0</v>
      </c>
      <c r="S131" s="2023"/>
      <c r="T131" s="712" t="s">
        <v>611</v>
      </c>
      <c r="U131" s="0"/>
      <c r="V131" s="0"/>
      <c r="AC131" s="0"/>
    </row>
    <row s="2437" customFormat="1" customHeight="1" ht="11.25">
      <c r="A132" s="1831"/>
      <c r="B132" s="1155"/>
      <c r="C132" s="409"/>
      <c r="D132" s="0"/>
      <c r="E132" s="2356"/>
      <c r="F132" s="1964"/>
      <c r="G132" s="2358"/>
      <c r="H132" s="1953"/>
      <c r="I132" s="2338" t="s">
        <v>935</v>
      </c>
      <c r="J132" s="2352"/>
      <c r="K132" s="2353"/>
      <c r="L132" s="635"/>
      <c r="M132" s="636" t="s">
        <v>108</v>
      </c>
      <c r="N132" s="1820"/>
      <c r="O132" s="637"/>
      <c r="P132" s="638"/>
      <c r="Q132" s="637"/>
      <c r="R132" s="639">
        <v>0</v>
      </c>
      <c r="S132" s="2023"/>
      <c r="T132" s="712"/>
      <c r="U132" s="0"/>
      <c r="V132" s="0"/>
      <c r="AC132" s="0"/>
    </row>
    <row s="2437" customFormat="1" customHeight="1" ht="11.25">
      <c r="A133" s="1831"/>
      <c r="B133" s="1155"/>
      <c r="C133" s="409"/>
      <c r="D133" s="0"/>
      <c r="E133" s="2356"/>
      <c r="F133" s="1964"/>
      <c r="G133" s="2358"/>
      <c r="H133" s="1953"/>
      <c r="I133" s="2338"/>
      <c r="J133" s="2352"/>
      <c r="K133" s="2354"/>
      <c r="L133" s="640"/>
      <c r="M133" s="641"/>
      <c r="N133" s="642" t="s">
        <v>1163</v>
      </c>
      <c r="O133" s="642"/>
      <c r="P133" s="642"/>
      <c r="Q133" s="642"/>
      <c r="R133" s="643"/>
      <c r="S133" s="2023"/>
      <c r="T133" s="712"/>
      <c r="U133" s="0"/>
      <c r="V133" s="0"/>
      <c r="AC133" s="0"/>
    </row>
    <row s="2437" customFormat="1" customHeight="1" ht="11.25">
      <c r="A134" s="1831"/>
      <c r="B134" s="1155"/>
      <c r="C134" s="409"/>
      <c r="D134" s="0"/>
      <c r="E134" s="2357"/>
      <c r="F134" s="1964"/>
      <c r="G134" s="2359"/>
      <c r="H134" s="640" t="s">
        <v>24</v>
      </c>
      <c r="I134" s="641"/>
      <c r="J134" s="642" t="s">
        <v>1164</v>
      </c>
      <c r="K134" s="642"/>
      <c r="L134" s="642"/>
      <c r="M134" s="642"/>
      <c r="N134" s="642"/>
      <c r="O134" s="642"/>
      <c r="P134" s="642"/>
      <c r="Q134" s="642"/>
      <c r="R134" s="643"/>
      <c r="S134" s="2023"/>
      <c r="T134" s="712"/>
      <c r="U134" s="0"/>
      <c r="V134" s="0"/>
      <c r="AC134" s="0"/>
    </row>
    <row r="139" s="2437" customFormat="1" customHeight="1" ht="11.25">
      <c r="A139" s="1831"/>
      <c r="B139" s="1155"/>
      <c r="C139" s="409"/>
      <c r="D139" s="0"/>
      <c r="E139" s="1855"/>
      <c r="F139" s="1855"/>
      <c r="G139" s="1855"/>
      <c r="H139" s="1953"/>
      <c r="I139" s="2338" t="s">
        <v>935</v>
      </c>
      <c r="J139" s="2352"/>
      <c r="K139" s="2353"/>
      <c r="L139" s="635"/>
      <c r="M139" s="636" t="s">
        <v>108</v>
      </c>
      <c r="N139" s="1820"/>
      <c r="O139" s="637"/>
      <c r="P139" s="638"/>
      <c r="Q139" s="637"/>
      <c r="R139" s="639">
        <v>0</v>
      </c>
      <c r="S139" s="0"/>
      <c r="T139" s="712"/>
      <c r="U139" s="0"/>
      <c r="V139" s="0"/>
      <c r="AC139" s="0"/>
    </row>
    <row s="2437" customFormat="1" customHeight="1" ht="11.25">
      <c r="A140" s="1831"/>
      <c r="B140" s="1155"/>
      <c r="C140" s="409"/>
      <c r="D140" s="0"/>
      <c r="E140" s="1855"/>
      <c r="F140" s="1855"/>
      <c r="G140" s="1855"/>
      <c r="H140" s="1953"/>
      <c r="I140" s="2338"/>
      <c r="J140" s="2352"/>
      <c r="K140" s="2354"/>
      <c r="L140" s="640"/>
      <c r="M140" s="641"/>
      <c r="N140" s="642" t="s">
        <v>1163</v>
      </c>
      <c r="O140" s="642"/>
      <c r="P140" s="642"/>
      <c r="Q140" s="642"/>
      <c r="R140" s="643"/>
      <c r="S140" s="0"/>
      <c r="T140" s="712"/>
      <c r="U140" s="0"/>
      <c r="V140" s="0"/>
      <c r="AC140" s="0"/>
    </row>
    <row r="142" s="2437" customFormat="1" customHeight="1" ht="11.25">
      <c r="A142" s="1831"/>
      <c r="B142" s="1155"/>
      <c r="C142" s="409"/>
      <c r="D142" s="0"/>
      <c r="E142" s="1861"/>
      <c r="F142" s="0"/>
      <c r="G142" s="0"/>
      <c r="H142" s="1862"/>
      <c r="I142" s="1855"/>
      <c r="J142" s="1856"/>
      <c r="K142" s="1856"/>
      <c r="L142" s="635"/>
      <c r="M142" s="636" t="s">
        <v>108</v>
      </c>
      <c r="N142" s="1820"/>
      <c r="O142" s="637"/>
      <c r="P142" s="638"/>
      <c r="Q142" s="637"/>
      <c r="R142" s="639">
        <v>0</v>
      </c>
      <c r="S142" s="0"/>
      <c r="T142" s="712"/>
      <c r="U142" s="0"/>
      <c r="V142" s="0"/>
      <c r="AC142" s="0"/>
    </row>
    <row r="144" s="1840" customFormat="1" customHeight="1" ht="17.25">
      <c r="A144" s="1840" t="s">
        <v>1165</v>
      </c>
    </row>
    <row customHeight="1" ht="17.25">
      <c r="G145" s="1863"/>
      <c r="H145" s="1863"/>
      <c r="I145" s="1863"/>
      <c r="M145" s="0"/>
    </row>
    <row s="1877" customFormat="1" customHeight="1" ht="17.25">
      <c r="A146" s="1864"/>
      <c r="C146" s="1866"/>
      <c r="D146" s="2335"/>
      <c r="E146" s="1975"/>
      <c r="F146" s="1977"/>
      <c r="G146" s="2341"/>
      <c r="H146" s="2335"/>
      <c r="I146" s="2335">
        <v>1</v>
      </c>
      <c r="J146" s="2371"/>
      <c r="K146" s="2026" t="s">
        <v>66</v>
      </c>
      <c r="L146" s="1964"/>
      <c r="M146" s="1964" t="s">
        <v>108</v>
      </c>
      <c r="N146" s="2369" t="str">
        <f>IF(Z146="","",INDEX(TERRITORY_MR_LIST,MATCH(Z146,TERRITORY_LIST_ID,0)))</f>
        <v/>
      </c>
      <c r="O146" s="2026" t="s">
        <v>66</v>
      </c>
      <c r="P146" s="1964"/>
      <c r="Q146" s="1964" t="s">
        <v>108</v>
      </c>
      <c r="R146" s="2340" t="s">
        <v>24</v>
      </c>
      <c r="S146" s="1963" t="s">
        <v>66</v>
      </c>
      <c r="T146" s="1836"/>
      <c r="U146" s="1836" t="s">
        <v>108</v>
      </c>
      <c r="V146" s="1867" t="s">
        <v>24</v>
      </c>
      <c r="W146" s="1826"/>
      <c r="Y146" s="1283"/>
      <c r="Z146" s="1283"/>
      <c r="AA146" s="1283"/>
      <c r="AB146" s="1283"/>
      <c r="AC146" s="1283"/>
      <c r="AD146" s="1283"/>
      <c r="AE146" s="1283"/>
      <c r="AF146" s="1283"/>
      <c r="AG146" s="1283"/>
      <c r="AH146" s="1283"/>
      <c r="AI146" s="1283"/>
      <c r="AJ146" s="1283"/>
      <c r="AK146" s="1283"/>
      <c r="AL146" s="1868"/>
      <c r="AM146" s="1868"/>
      <c r="AN146" s="1283"/>
      <c r="AO146" s="1283"/>
      <c r="AP146" s="1283"/>
      <c r="AQ146" s="1283"/>
    </row>
    <row s="1877" customFormat="1" customHeight="1" ht="17.25">
      <c r="A147" s="1864"/>
      <c r="C147" s="1869"/>
      <c r="D147" s="2335"/>
      <c r="E147" s="1975"/>
      <c r="F147" s="1978"/>
      <c r="G147" s="2341"/>
      <c r="H147" s="2335"/>
      <c r="I147" s="2335"/>
      <c r="J147" s="2371"/>
      <c r="K147" s="2027"/>
      <c r="L147" s="1964"/>
      <c r="M147" s="1964"/>
      <c r="N147" s="2369"/>
      <c r="O147" s="2027"/>
      <c r="P147" s="1964"/>
      <c r="Q147" s="1964"/>
      <c r="R147" s="2340"/>
      <c r="S147" s="1963"/>
      <c r="T147" s="302"/>
      <c r="U147" s="303"/>
      <c r="V147" s="303" t="s">
        <v>166</v>
      </c>
      <c r="W147" s="304"/>
      <c r="Y147" s="1275"/>
      <c r="Z147" s="1275"/>
      <c r="AA147" s="1275"/>
      <c r="AB147" s="1275"/>
      <c r="AC147" s="1275"/>
      <c r="AD147" s="1275"/>
      <c r="AE147" s="1275"/>
      <c r="AF147" s="1275"/>
      <c r="AG147" s="1275"/>
      <c r="AH147" s="1275"/>
      <c r="AI147" s="1275"/>
      <c r="AJ147" s="1275"/>
      <c r="AK147" s="1275"/>
    </row>
    <row s="1877" customFormat="1" customHeight="1" ht="17.25">
      <c r="A148" s="1864"/>
      <c r="C148" s="1869"/>
      <c r="D148" s="2336"/>
      <c r="E148" s="2368"/>
      <c r="F148" s="1978"/>
      <c r="G148" s="2342"/>
      <c r="H148" s="2336"/>
      <c r="I148" s="2336"/>
      <c r="J148" s="2372"/>
      <c r="K148" s="2027"/>
      <c r="L148" s="2336"/>
      <c r="M148" s="2336"/>
      <c r="N148" s="2370"/>
      <c r="O148" s="1968"/>
      <c r="P148" s="302"/>
      <c r="Q148" s="303"/>
      <c r="R148" s="303" t="s">
        <v>167</v>
      </c>
      <c r="S148" s="1870"/>
      <c r="T148" s="1870"/>
      <c r="U148" s="1870"/>
      <c r="V148" s="1870"/>
      <c r="W148" s="304"/>
      <c r="Y148" s="1275"/>
      <c r="Z148" s="1275"/>
      <c r="AA148" s="1275"/>
      <c r="AB148" s="1275"/>
      <c r="AC148" s="1275"/>
      <c r="AD148" s="1275"/>
      <c r="AE148" s="1275"/>
      <c r="AF148" s="1275"/>
      <c r="AG148" s="1275"/>
      <c r="AH148" s="1275"/>
      <c r="AI148" s="1275"/>
      <c r="AJ148" s="1275"/>
      <c r="AK148" s="1275"/>
    </row>
    <row s="1877" customFormat="1" customHeight="1" ht="17.25">
      <c r="A149" s="1864"/>
      <c r="C149" s="1869"/>
      <c r="D149" s="2336"/>
      <c r="E149" s="2368"/>
      <c r="F149" s="1978"/>
      <c r="G149" s="2342"/>
      <c r="H149" s="2336"/>
      <c r="I149" s="2336"/>
      <c r="J149" s="2372"/>
      <c r="K149" s="1968"/>
      <c r="L149" s="302"/>
      <c r="M149" s="303"/>
      <c r="N149" s="303" t="s">
        <v>168</v>
      </c>
      <c r="O149" s="303"/>
      <c r="P149" s="303"/>
      <c r="Q149" s="303"/>
      <c r="R149" s="303"/>
      <c r="S149" s="1870"/>
      <c r="T149" s="1870"/>
      <c r="U149" s="1870"/>
      <c r="V149" s="1870"/>
      <c r="W149" s="304"/>
      <c r="Y149" s="1275"/>
      <c r="Z149" s="1275"/>
      <c r="AA149" s="1275"/>
      <c r="AB149" s="1275"/>
      <c r="AC149" s="1275"/>
      <c r="AD149" s="1275"/>
      <c r="AE149" s="1275"/>
      <c r="AF149" s="1275"/>
      <c r="AG149" s="1275"/>
      <c r="AH149" s="1275"/>
      <c r="AI149" s="1275"/>
      <c r="AJ149" s="1275"/>
      <c r="AK149" s="1275"/>
    </row>
    <row s="1877" customFormat="1" customHeight="1" ht="17.25">
      <c r="A150" s="1864"/>
      <c r="C150" s="1869"/>
      <c r="D150" s="2336"/>
      <c r="E150" s="2368"/>
      <c r="F150" s="1979"/>
      <c r="G150" s="2342"/>
      <c r="H150" s="302"/>
      <c r="I150" s="303"/>
      <c r="J150" s="303" t="s">
        <v>180</v>
      </c>
      <c r="K150" s="303"/>
      <c r="L150" s="303"/>
      <c r="M150" s="303"/>
      <c r="N150" s="303"/>
      <c r="O150" s="303"/>
      <c r="P150" s="303"/>
      <c r="Q150" s="303"/>
      <c r="R150" s="303"/>
      <c r="S150" s="1870"/>
      <c r="T150" s="1870"/>
      <c r="U150" s="1870"/>
      <c r="V150" s="1870"/>
      <c r="W150" s="304"/>
      <c r="Y150" s="1275"/>
      <c r="Z150" s="1275"/>
      <c r="AA150" s="1275"/>
      <c r="AB150" s="1275"/>
      <c r="AC150" s="1275"/>
      <c r="AD150" s="1275"/>
      <c r="AE150" s="1275"/>
      <c r="AF150" s="1275"/>
      <c r="AG150" s="1275"/>
      <c r="AH150" s="1275"/>
      <c r="AI150" s="1275"/>
      <c r="AJ150" s="1275"/>
      <c r="AK150" s="1275"/>
    </row>
    <row customHeight="1" ht="17.25">
      <c r="G151" s="1863"/>
      <c r="H151" s="1863"/>
      <c r="I151" s="1863"/>
      <c r="M151" s="0"/>
    </row>
    <row s="1877" customFormat="1" customHeight="1" ht="17.25">
      <c r="A152" s="1864"/>
      <c r="C152" s="1866"/>
      <c r="D152" s="1855"/>
      <c r="E152" s="1871"/>
      <c r="F152" s="1809"/>
      <c r="G152" s="1872"/>
      <c r="H152" s="2335"/>
      <c r="I152" s="2335">
        <v>1</v>
      </c>
      <c r="J152" s="2371"/>
      <c r="K152" s="2026" t="s">
        <v>66</v>
      </c>
      <c r="L152" s="1964"/>
      <c r="M152" s="1964" t="s">
        <v>108</v>
      </c>
      <c r="N152" s="2369" t="str">
        <f>IF(Z152="","",INDEX(TERRITORY_MR_LIST,MATCH(Z152,TERRITORY_LIST_ID,0)))</f>
        <v/>
      </c>
      <c r="O152" s="2026" t="s">
        <v>66</v>
      </c>
      <c r="P152" s="1964"/>
      <c r="Q152" s="1964" t="s">
        <v>108</v>
      </c>
      <c r="R152" s="2340" t="s">
        <v>24</v>
      </c>
      <c r="S152" s="1963" t="s">
        <v>66</v>
      </c>
      <c r="T152" s="1836"/>
      <c r="U152" s="1836" t="s">
        <v>108</v>
      </c>
      <c r="V152" s="1867" t="s">
        <v>24</v>
      </c>
      <c r="W152" s="1826"/>
      <c r="Y152" s="1283"/>
      <c r="Z152" s="1283"/>
      <c r="AA152" s="1283"/>
      <c r="AB152" s="1283"/>
      <c r="AC152" s="1283"/>
      <c r="AD152" s="1283"/>
      <c r="AE152" s="1283"/>
      <c r="AF152" s="1283"/>
      <c r="AG152" s="1283"/>
      <c r="AH152" s="1283"/>
      <c r="AI152" s="1283"/>
      <c r="AJ152" s="1283"/>
      <c r="AK152" s="1283"/>
      <c r="AL152" s="1868"/>
      <c r="AM152" s="1868"/>
      <c r="AN152" s="1283"/>
      <c r="AO152" s="1283"/>
      <c r="AP152" s="1283"/>
      <c r="AQ152" s="1283"/>
    </row>
    <row s="1877" customFormat="1" customHeight="1" ht="17.25">
      <c r="A153" s="1864"/>
      <c r="C153" s="1869"/>
      <c r="D153" s="1855"/>
      <c r="E153" s="1871"/>
      <c r="F153" s="1809"/>
      <c r="G153" s="1872"/>
      <c r="H153" s="2335"/>
      <c r="I153" s="2335"/>
      <c r="J153" s="2371"/>
      <c r="K153" s="2027"/>
      <c r="L153" s="1964"/>
      <c r="M153" s="1964"/>
      <c r="N153" s="2369"/>
      <c r="O153" s="2027"/>
      <c r="P153" s="1964"/>
      <c r="Q153" s="1964"/>
      <c r="R153" s="2340"/>
      <c r="S153" s="1963"/>
      <c r="T153" s="302"/>
      <c r="U153" s="303"/>
      <c r="V153" s="303" t="s">
        <v>166</v>
      </c>
      <c r="W153" s="304"/>
      <c r="Y153" s="1275"/>
      <c r="Z153" s="1275"/>
      <c r="AA153" s="1275"/>
      <c r="AB153" s="1275"/>
      <c r="AC153" s="1275"/>
      <c r="AD153" s="1275"/>
      <c r="AE153" s="1275"/>
      <c r="AF153" s="1275"/>
      <c r="AG153" s="1275"/>
      <c r="AH153" s="1275"/>
      <c r="AI153" s="1275"/>
      <c r="AJ153" s="1275"/>
      <c r="AK153" s="1275"/>
    </row>
    <row s="1877" customFormat="1" customHeight="1" ht="17.25">
      <c r="A154" s="1864"/>
      <c r="C154" s="1869"/>
      <c r="D154" s="1855"/>
      <c r="E154" s="1871"/>
      <c r="F154" s="1809"/>
      <c r="G154" s="1872"/>
      <c r="H154" s="2336"/>
      <c r="I154" s="2336"/>
      <c r="J154" s="2372"/>
      <c r="K154" s="2027"/>
      <c r="L154" s="2336"/>
      <c r="M154" s="2336"/>
      <c r="N154" s="2370"/>
      <c r="O154" s="1968"/>
      <c r="P154" s="302"/>
      <c r="Q154" s="303"/>
      <c r="R154" s="303" t="s">
        <v>167</v>
      </c>
      <c r="S154" s="1870"/>
      <c r="T154" s="1870"/>
      <c r="U154" s="1870"/>
      <c r="V154" s="1870"/>
      <c r="W154" s="304"/>
      <c r="Y154" s="1275"/>
      <c r="Z154" s="1275"/>
      <c r="AA154" s="1275"/>
      <c r="AB154" s="1275"/>
      <c r="AC154" s="1275"/>
      <c r="AD154" s="1275"/>
      <c r="AE154" s="1275"/>
      <c r="AF154" s="1275"/>
      <c r="AG154" s="1275"/>
      <c r="AH154" s="1275"/>
      <c r="AI154" s="1275"/>
      <c r="AJ154" s="1275"/>
      <c r="AK154" s="1275"/>
    </row>
    <row s="1877" customFormat="1" customHeight="1" ht="17.25">
      <c r="A155" s="1864"/>
      <c r="C155" s="1869"/>
      <c r="D155" s="1855"/>
      <c r="E155" s="1871"/>
      <c r="F155" s="1809"/>
      <c r="G155" s="1872"/>
      <c r="H155" s="2336"/>
      <c r="I155" s="2336"/>
      <c r="J155" s="2372"/>
      <c r="K155" s="1968"/>
      <c r="L155" s="302"/>
      <c r="M155" s="303"/>
      <c r="N155" s="303" t="s">
        <v>168</v>
      </c>
      <c r="O155" s="303"/>
      <c r="P155" s="303"/>
      <c r="Q155" s="303"/>
      <c r="R155" s="303"/>
      <c r="S155" s="1870"/>
      <c r="T155" s="1870"/>
      <c r="U155" s="1870"/>
      <c r="V155" s="1870"/>
      <c r="W155" s="304"/>
      <c r="Y155" s="1275"/>
      <c r="Z155" s="1275"/>
      <c r="AA155" s="1275"/>
      <c r="AB155" s="1275"/>
      <c r="AC155" s="1275"/>
      <c r="AD155" s="1275"/>
      <c r="AE155" s="1275"/>
      <c r="AF155" s="1275"/>
      <c r="AG155" s="1275"/>
      <c r="AH155" s="1275"/>
      <c r="AI155" s="1275"/>
      <c r="AJ155" s="1275"/>
      <c r="AK155" s="1275"/>
    </row>
    <row customHeight="1" ht="17.25">
      <c r="G156" s="1863"/>
      <c r="H156" s="1863"/>
      <c r="I156" s="1863"/>
      <c r="M156" s="0"/>
    </row>
    <row s="1877" customFormat="1" customHeight="1" ht="17.25">
      <c r="A157" s="1864"/>
      <c r="C157" s="1866"/>
      <c r="D157" s="1855"/>
      <c r="E157" s="1871"/>
      <c r="F157" s="1809"/>
      <c r="G157" s="1872"/>
      <c r="H157" s="1855"/>
      <c r="I157" s="1855"/>
      <c r="J157" s="1873"/>
      <c r="K157" s="1784"/>
      <c r="L157" s="1964"/>
      <c r="M157" s="1964" t="s">
        <v>108</v>
      </c>
      <c r="N157" s="2369" t="str">
        <f>IF(Z157="","",INDEX(TERRITORY_MR_LIST,MATCH(Z157,TERRITORY_LIST_ID,0)))</f>
        <v/>
      </c>
      <c r="O157" s="2026" t="s">
        <v>66</v>
      </c>
      <c r="P157" s="1964"/>
      <c r="Q157" s="1964" t="s">
        <v>108</v>
      </c>
      <c r="R157" s="2340" t="s">
        <v>24</v>
      </c>
      <c r="S157" s="1963" t="s">
        <v>66</v>
      </c>
      <c r="T157" s="1836"/>
      <c r="U157" s="1836" t="s">
        <v>108</v>
      </c>
      <c r="V157" s="1867" t="s">
        <v>24</v>
      </c>
      <c r="W157" s="1826"/>
      <c r="Y157" s="1283"/>
      <c r="Z157" s="1283"/>
      <c r="AA157" s="1283"/>
      <c r="AB157" s="1283"/>
      <c r="AC157" s="1283"/>
      <c r="AD157" s="1283"/>
      <c r="AE157" s="1283"/>
      <c r="AF157" s="1283"/>
      <c r="AG157" s="1283"/>
      <c r="AH157" s="1283"/>
      <c r="AI157" s="1283"/>
      <c r="AJ157" s="1283"/>
      <c r="AK157" s="1283"/>
      <c r="AL157" s="1868"/>
      <c r="AM157" s="1868"/>
      <c r="AN157" s="1283"/>
      <c r="AO157" s="1283"/>
      <c r="AP157" s="1283"/>
      <c r="AQ157" s="1283"/>
    </row>
    <row s="1877" customFormat="1" customHeight="1" ht="17.25">
      <c r="A158" s="1864"/>
      <c r="C158" s="1869"/>
      <c r="D158" s="1855"/>
      <c r="E158" s="1871"/>
      <c r="F158" s="1809"/>
      <c r="G158" s="1872"/>
      <c r="H158" s="1855"/>
      <c r="I158" s="1855"/>
      <c r="J158" s="1873"/>
      <c r="K158" s="1784"/>
      <c r="L158" s="1964"/>
      <c r="M158" s="1964"/>
      <c r="N158" s="2369"/>
      <c r="O158" s="2027"/>
      <c r="P158" s="1964"/>
      <c r="Q158" s="1964"/>
      <c r="R158" s="2340"/>
      <c r="S158" s="1963"/>
      <c r="T158" s="302"/>
      <c r="U158" s="303"/>
      <c r="V158" s="303" t="s">
        <v>166</v>
      </c>
      <c r="W158" s="304"/>
      <c r="Y158" s="1275"/>
      <c r="Z158" s="1275"/>
      <c r="AA158" s="1275"/>
      <c r="AB158" s="1275"/>
      <c r="AC158" s="1275"/>
      <c r="AD158" s="1275"/>
      <c r="AE158" s="1275"/>
      <c r="AF158" s="1275"/>
      <c r="AG158" s="1275"/>
      <c r="AH158" s="1275"/>
      <c r="AI158" s="1275"/>
      <c r="AJ158" s="1275"/>
      <c r="AK158" s="1275"/>
    </row>
    <row s="1877" customFormat="1" customHeight="1" ht="17.25">
      <c r="A159" s="1864"/>
      <c r="C159" s="1869"/>
      <c r="D159" s="1855"/>
      <c r="E159" s="1871"/>
      <c r="F159" s="1809"/>
      <c r="G159" s="1872"/>
      <c r="H159" s="1855"/>
      <c r="I159" s="1855"/>
      <c r="J159" s="1873"/>
      <c r="K159" s="1784"/>
      <c r="L159" s="2336"/>
      <c r="M159" s="2336"/>
      <c r="N159" s="2370"/>
      <c r="O159" s="1968"/>
      <c r="P159" s="302"/>
      <c r="Q159" s="303"/>
      <c r="R159" s="303" t="s">
        <v>167</v>
      </c>
      <c r="S159" s="1870"/>
      <c r="T159" s="1870"/>
      <c r="U159" s="1870"/>
      <c r="V159" s="1870"/>
      <c r="W159" s="304"/>
      <c r="Y159" s="1275"/>
      <c r="Z159" s="1275"/>
      <c r="AA159" s="1275"/>
      <c r="AB159" s="1275"/>
      <c r="AC159" s="1275"/>
      <c r="AD159" s="1275"/>
      <c r="AE159" s="1275"/>
      <c r="AF159" s="1275"/>
      <c r="AG159" s="1275"/>
      <c r="AH159" s="1275"/>
      <c r="AI159" s="1275"/>
      <c r="AJ159" s="1275"/>
      <c r="AK159" s="1275"/>
    </row>
    <row customHeight="1" ht="17.25">
      <c r="G160" s="1863"/>
      <c r="H160" s="1863"/>
      <c r="I160" s="1863"/>
      <c r="M160" s="0"/>
    </row>
    <row s="1877" customFormat="1" customHeight="1" ht="17.25">
      <c r="A161" s="1864"/>
      <c r="C161" s="1866"/>
      <c r="D161" s="1855"/>
      <c r="E161" s="1871"/>
      <c r="F161" s="1809"/>
      <c r="G161" s="1872"/>
      <c r="H161" s="1855"/>
      <c r="I161" s="1855"/>
      <c r="J161" s="1873"/>
      <c r="K161" s="1784"/>
      <c r="L161" s="1780"/>
      <c r="M161" s="1780"/>
      <c r="N161" s="1874"/>
      <c r="O161" s="1812"/>
      <c r="P161" s="1964"/>
      <c r="Q161" s="1964" t="s">
        <v>108</v>
      </c>
      <c r="R161" s="2340" t="s">
        <v>24</v>
      </c>
      <c r="S161" s="1963" t="s">
        <v>66</v>
      </c>
      <c r="T161" s="1836"/>
      <c r="U161" s="1836" t="s">
        <v>108</v>
      </c>
      <c r="V161" s="1867" t="s">
        <v>24</v>
      </c>
      <c r="W161" s="1826"/>
      <c r="Y161" s="1283"/>
      <c r="Z161" s="1283"/>
      <c r="AA161" s="1283"/>
      <c r="AB161" s="1283"/>
      <c r="AC161" s="1283"/>
      <c r="AD161" s="1283"/>
      <c r="AE161" s="1283"/>
      <c r="AF161" s="1283"/>
      <c r="AG161" s="1283"/>
      <c r="AH161" s="1283"/>
      <c r="AI161" s="1283"/>
      <c r="AJ161" s="1283"/>
      <c r="AK161" s="1283"/>
      <c r="AL161" s="1868"/>
      <c r="AM161" s="1868"/>
      <c r="AN161" s="1283"/>
      <c r="AO161" s="1283"/>
      <c r="AP161" s="1283"/>
      <c r="AQ161" s="1283"/>
    </row>
    <row s="1877" customFormat="1" customHeight="1" ht="17.25">
      <c r="A162" s="1864"/>
      <c r="C162" s="1869"/>
      <c r="D162" s="1855"/>
      <c r="E162" s="1871"/>
      <c r="F162" s="1809"/>
      <c r="G162" s="1872"/>
      <c r="H162" s="1855"/>
      <c r="I162" s="1855"/>
      <c r="J162" s="1873"/>
      <c r="K162" s="1784"/>
      <c r="L162" s="1780"/>
      <c r="M162" s="1780"/>
      <c r="N162" s="1874"/>
      <c r="O162" s="1812"/>
      <c r="P162" s="1964"/>
      <c r="Q162" s="1964"/>
      <c r="R162" s="2340"/>
      <c r="S162" s="1963"/>
      <c r="T162" s="302"/>
      <c r="U162" s="303"/>
      <c r="V162" s="303" t="s">
        <v>166</v>
      </c>
      <c r="W162" s="304"/>
      <c r="Y162" s="1275"/>
      <c r="Z162" s="1275"/>
      <c r="AA162" s="1275"/>
      <c r="AB162" s="1275"/>
      <c r="AC162" s="1275"/>
      <c r="AD162" s="1275"/>
      <c r="AE162" s="1275"/>
      <c r="AF162" s="1275"/>
      <c r="AG162" s="1275"/>
      <c r="AH162" s="1275"/>
      <c r="AI162" s="1275"/>
      <c r="AJ162" s="1275"/>
      <c r="AK162" s="1275"/>
    </row>
    <row customHeight="1" ht="17.25">
      <c r="G163" s="1863"/>
      <c r="H163" s="1863"/>
      <c r="I163" s="1863"/>
      <c r="M163" s="0"/>
    </row>
    <row s="1877" customFormat="1" customHeight="1" ht="17.25">
      <c r="A164" s="1864"/>
      <c r="C164" s="1866"/>
      <c r="D164" s="1855"/>
      <c r="E164" s="1871"/>
      <c r="F164" s="1809"/>
      <c r="G164" s="1872"/>
      <c r="H164" s="1780"/>
      <c r="I164" s="1780"/>
      <c r="J164" s="1781"/>
      <c r="K164" s="1872"/>
      <c r="L164" s="1780"/>
      <c r="M164" s="1780"/>
      <c r="N164" s="1872"/>
      <c r="O164" s="1872"/>
      <c r="P164" s="1780"/>
      <c r="Q164" s="1780"/>
      <c r="R164" s="1782"/>
      <c r="S164" s="1872"/>
      <c r="T164" s="1836"/>
      <c r="U164" s="1836" t="s">
        <v>108</v>
      </c>
      <c r="V164" s="1867" t="s">
        <v>24</v>
      </c>
      <c r="W164" s="1826"/>
      <c r="Y164" s="1283"/>
      <c r="Z164" s="1283"/>
      <c r="AA164" s="1283"/>
      <c r="AB164" s="1283"/>
      <c r="AC164" s="1283"/>
      <c r="AD164" s="1283"/>
      <c r="AE164" s="1283"/>
      <c r="AF164" s="1283"/>
      <c r="AG164" s="1283"/>
      <c r="AH164" s="1283"/>
      <c r="AI164" s="1283"/>
      <c r="AJ164" s="1283"/>
      <c r="AK164" s="1283"/>
      <c r="AL164" s="1868"/>
      <c r="AM164" s="1868"/>
      <c r="AN164" s="1283"/>
      <c r="AO164" s="1283"/>
      <c r="AP164" s="1283"/>
      <c r="AQ164" s="1283"/>
    </row>
    <row r="166" s="1840" customFormat="1" customHeight="1" ht="17.25">
      <c r="A166" s="1840" t="s">
        <v>1166</v>
      </c>
    </row>
    <row customHeight="1" ht="17.25">
      <c r="G167" s="1863"/>
      <c r="H167" s="1863"/>
      <c r="I167" s="1863"/>
      <c r="M167" s="0"/>
    </row>
    <row s="1877" customFormat="1" customHeight="1" ht="17.25">
      <c r="A168" s="1864"/>
      <c r="C168" s="1866"/>
      <c r="D168" s="2335"/>
      <c r="E168" s="1975"/>
      <c r="F168" s="1977"/>
      <c r="G168" s="2341"/>
      <c r="H168" s="2335"/>
      <c r="I168" s="2335">
        <v>1</v>
      </c>
      <c r="J168" s="2371"/>
      <c r="K168" s="2026" t="s">
        <v>66</v>
      </c>
      <c r="L168" s="1964"/>
      <c r="M168" s="1964" t="s">
        <v>108</v>
      </c>
      <c r="N168" s="2369" t="str">
        <f>IF(Z168="","",INDEX(TERRITORY_MR_LIST,MATCH(Z168,TERRITORY_LIST_ID,0)))</f>
        <v/>
      </c>
      <c r="O168" s="2026" t="s">
        <v>66</v>
      </c>
      <c r="P168" s="1964"/>
      <c r="Q168" s="1964" t="s">
        <v>108</v>
      </c>
      <c r="R168" s="2340" t="s">
        <v>24</v>
      </c>
      <c r="S168" s="2222" t="s">
        <v>56</v>
      </c>
      <c r="T168" s="1827"/>
      <c r="U168" s="1827" t="s">
        <v>108</v>
      </c>
      <c r="V168" s="1451"/>
      <c r="W168" s="2371"/>
      <c r="Y168" s="1283"/>
      <c r="Z168" s="1283"/>
      <c r="AA168" s="1283"/>
      <c r="AB168" s="1283"/>
      <c r="AC168" s="1283"/>
      <c r="AD168" s="1283"/>
      <c r="AE168" s="1283"/>
      <c r="AF168" s="1283"/>
      <c r="AG168" s="1283"/>
      <c r="AH168" s="1283"/>
      <c r="AI168" s="1283"/>
      <c r="AJ168" s="1283"/>
      <c r="AK168" s="1283"/>
      <c r="AL168" s="1868"/>
      <c r="AM168" s="1868"/>
      <c r="AN168" s="1283"/>
      <c r="AO168" s="1283"/>
      <c r="AP168" s="1283"/>
      <c r="AQ168" s="1283"/>
    </row>
    <row s="1877" customFormat="1" customHeight="1" ht="17.25">
      <c r="A169" s="1864"/>
      <c r="C169" s="1869"/>
      <c r="D169" s="2335"/>
      <c r="E169" s="1975"/>
      <c r="F169" s="1978"/>
      <c r="G169" s="2341"/>
      <c r="H169" s="2335"/>
      <c r="I169" s="2335"/>
      <c r="J169" s="2371"/>
      <c r="K169" s="2027"/>
      <c r="L169" s="1964"/>
      <c r="M169" s="1964"/>
      <c r="N169" s="2369"/>
      <c r="O169" s="2027"/>
      <c r="P169" s="1964"/>
      <c r="Q169" s="1964"/>
      <c r="R169" s="2340"/>
      <c r="S169" s="2222"/>
      <c r="T169" s="1452"/>
      <c r="U169" s="1453"/>
      <c r="V169" s="1453"/>
      <c r="W169" s="2371"/>
      <c r="Y169" s="1275"/>
      <c r="Z169" s="1275"/>
      <c r="AA169" s="1275"/>
      <c r="AB169" s="1275"/>
      <c r="AC169" s="1275"/>
      <c r="AD169" s="1275"/>
      <c r="AE169" s="1275"/>
      <c r="AF169" s="1275"/>
      <c r="AG169" s="1275"/>
      <c r="AH169" s="1275"/>
      <c r="AI169" s="1275"/>
      <c r="AJ169" s="1275"/>
      <c r="AK169" s="1275"/>
    </row>
    <row s="1877" customFormat="1" customHeight="1" ht="17.25">
      <c r="A170" s="1864"/>
      <c r="C170" s="1869"/>
      <c r="D170" s="2336"/>
      <c r="E170" s="2368"/>
      <c r="F170" s="1978"/>
      <c r="G170" s="2342"/>
      <c r="H170" s="2336"/>
      <c r="I170" s="2336"/>
      <c r="J170" s="2372"/>
      <c r="K170" s="2027"/>
      <c r="L170" s="2336"/>
      <c r="M170" s="2336"/>
      <c r="N170" s="2370"/>
      <c r="O170" s="1968"/>
      <c r="P170" s="302"/>
      <c r="Q170" s="303"/>
      <c r="R170" s="303" t="s">
        <v>167</v>
      </c>
      <c r="S170" s="1870"/>
      <c r="T170" s="1870"/>
      <c r="U170" s="1870"/>
      <c r="V170" s="1870"/>
      <c r="W170" s="1450"/>
      <c r="Y170" s="1275"/>
      <c r="Z170" s="1275"/>
      <c r="AA170" s="1275"/>
      <c r="AB170" s="1275"/>
      <c r="AC170" s="1275"/>
      <c r="AD170" s="1275"/>
      <c r="AE170" s="1275"/>
      <c r="AF170" s="1275"/>
      <c r="AG170" s="1275"/>
      <c r="AH170" s="1275"/>
      <c r="AI170" s="1275"/>
      <c r="AJ170" s="1275"/>
      <c r="AK170" s="1275"/>
    </row>
    <row s="1877" customFormat="1" customHeight="1" ht="17.25">
      <c r="A171" s="1864"/>
      <c r="C171" s="1869"/>
      <c r="D171" s="2336"/>
      <c r="E171" s="2368"/>
      <c r="F171" s="1978"/>
      <c r="G171" s="2342"/>
      <c r="H171" s="2336"/>
      <c r="I171" s="2336"/>
      <c r="J171" s="2372"/>
      <c r="K171" s="1968"/>
      <c r="L171" s="302"/>
      <c r="M171" s="303"/>
      <c r="N171" s="303" t="s">
        <v>168</v>
      </c>
      <c r="O171" s="303"/>
      <c r="P171" s="303"/>
      <c r="Q171" s="303"/>
      <c r="R171" s="303"/>
      <c r="S171" s="1870"/>
      <c r="T171" s="1870"/>
      <c r="U171" s="1870"/>
      <c r="V171" s="1870"/>
      <c r="W171" s="304"/>
      <c r="Y171" s="1275"/>
      <c r="Z171" s="1275"/>
      <c r="AA171" s="1275"/>
      <c r="AB171" s="1275"/>
      <c r="AC171" s="1275"/>
      <c r="AD171" s="1275"/>
      <c r="AE171" s="1275"/>
      <c r="AF171" s="1275"/>
      <c r="AG171" s="1275"/>
      <c r="AH171" s="1275"/>
      <c r="AI171" s="1275"/>
      <c r="AJ171" s="1275"/>
      <c r="AK171" s="1275"/>
    </row>
    <row s="1877" customFormat="1" customHeight="1" ht="17.25">
      <c r="A172" s="1864"/>
      <c r="C172" s="1869"/>
      <c r="D172" s="2336"/>
      <c r="E172" s="2368"/>
      <c r="F172" s="1979"/>
      <c r="G172" s="2342"/>
      <c r="H172" s="302"/>
      <c r="I172" s="303"/>
      <c r="J172" s="303" t="s">
        <v>180</v>
      </c>
      <c r="K172" s="303"/>
      <c r="L172" s="303"/>
      <c r="M172" s="303"/>
      <c r="N172" s="303"/>
      <c r="O172" s="303"/>
      <c r="P172" s="303"/>
      <c r="Q172" s="303"/>
      <c r="R172" s="303"/>
      <c r="S172" s="1870"/>
      <c r="T172" s="1870"/>
      <c r="U172" s="1870"/>
      <c r="V172" s="1870"/>
      <c r="W172" s="304"/>
      <c r="Y172" s="1275"/>
      <c r="Z172" s="1275"/>
      <c r="AA172" s="1275"/>
      <c r="AB172" s="1275"/>
      <c r="AC172" s="1275"/>
      <c r="AD172" s="1275"/>
      <c r="AE172" s="1275"/>
      <c r="AF172" s="1275"/>
      <c r="AG172" s="1275"/>
      <c r="AH172" s="1275"/>
      <c r="AI172" s="1275"/>
      <c r="AJ172" s="1275"/>
      <c r="AK172" s="1275"/>
    </row>
    <row customHeight="1" ht="17.25">
      <c r="A173" s="0"/>
    </row>
    <row s="1877" customFormat="1" customHeight="1" ht="17.25">
      <c r="A174" s="1864"/>
      <c r="C174" s="1866"/>
      <c r="D174" s="1855"/>
      <c r="E174" s="1871"/>
      <c r="F174" s="1809"/>
      <c r="G174" s="1872"/>
      <c r="H174" s="2335"/>
      <c r="I174" s="2335">
        <v>1</v>
      </c>
      <c r="J174" s="2371"/>
      <c r="K174" s="2026" t="s">
        <v>66</v>
      </c>
      <c r="L174" s="1964"/>
      <c r="M174" s="1964" t="s">
        <v>108</v>
      </c>
      <c r="N174" s="2369" t="str">
        <f>IF(Z174="","",INDEX(TERRITORY_MR_LIST,MATCH(Z174,TERRITORY_LIST_ID,0)))</f>
        <v/>
      </c>
      <c r="O174" s="2026" t="s">
        <v>66</v>
      </c>
      <c r="P174" s="1964"/>
      <c r="Q174" s="1964" t="s">
        <v>108</v>
      </c>
      <c r="R174" s="2340" t="s">
        <v>24</v>
      </c>
      <c r="S174" s="2222" t="s">
        <v>56</v>
      </c>
      <c r="T174" s="1827"/>
      <c r="U174" s="1827" t="s">
        <v>108</v>
      </c>
      <c r="V174" s="1451"/>
      <c r="W174" s="2371"/>
      <c r="Y174" s="1283"/>
      <c r="Z174" s="1283"/>
      <c r="AA174" s="1283"/>
      <c r="AB174" s="1283"/>
      <c r="AC174" s="1283"/>
      <c r="AD174" s="1283"/>
      <c r="AE174" s="1283"/>
      <c r="AF174" s="1283"/>
      <c r="AG174" s="1283"/>
      <c r="AH174" s="1283"/>
      <c r="AI174" s="1283"/>
      <c r="AJ174" s="1283"/>
      <c r="AK174" s="1283"/>
      <c r="AL174" s="1868"/>
      <c r="AM174" s="1868"/>
      <c r="AN174" s="1283"/>
      <c r="AO174" s="1283"/>
      <c r="AP174" s="1283"/>
      <c r="AQ174" s="1283"/>
    </row>
    <row s="1877" customFormat="1" customHeight="1" ht="17.25">
      <c r="A175" s="1864"/>
      <c r="C175" s="1869"/>
      <c r="D175" s="1855"/>
      <c r="E175" s="1871"/>
      <c r="F175" s="1809"/>
      <c r="G175" s="1872"/>
      <c r="H175" s="2335"/>
      <c r="I175" s="2335"/>
      <c r="J175" s="2371"/>
      <c r="K175" s="2027"/>
      <c r="L175" s="1964"/>
      <c r="M175" s="1964"/>
      <c r="N175" s="2369"/>
      <c r="O175" s="2027"/>
      <c r="P175" s="1964"/>
      <c r="Q175" s="1964"/>
      <c r="R175" s="2340"/>
      <c r="S175" s="2222"/>
      <c r="T175" s="1452"/>
      <c r="U175" s="1453"/>
      <c r="V175" s="1453"/>
      <c r="W175" s="2371"/>
      <c r="Y175" s="1275"/>
      <c r="Z175" s="1275"/>
      <c r="AA175" s="1275"/>
      <c r="AB175" s="1275"/>
      <c r="AC175" s="1275"/>
      <c r="AD175" s="1275"/>
      <c r="AE175" s="1275"/>
      <c r="AF175" s="1275"/>
      <c r="AG175" s="1275"/>
      <c r="AH175" s="1275"/>
      <c r="AI175" s="1275"/>
      <c r="AJ175" s="1275"/>
      <c r="AK175" s="1275"/>
    </row>
    <row s="1877" customFormat="1" customHeight="1" ht="17.25">
      <c r="A176" s="1864"/>
      <c r="C176" s="1869"/>
      <c r="D176" s="1855"/>
      <c r="E176" s="1871"/>
      <c r="F176" s="1809"/>
      <c r="G176" s="1872"/>
      <c r="H176" s="2336"/>
      <c r="I176" s="2336"/>
      <c r="J176" s="2372"/>
      <c r="K176" s="2027"/>
      <c r="L176" s="2336"/>
      <c r="M176" s="2336"/>
      <c r="N176" s="2370"/>
      <c r="O176" s="1968"/>
      <c r="P176" s="302"/>
      <c r="Q176" s="303"/>
      <c r="R176" s="303" t="s">
        <v>167</v>
      </c>
      <c r="S176" s="1870"/>
      <c r="T176" s="1870"/>
      <c r="U176" s="1870"/>
      <c r="V176" s="1870"/>
      <c r="W176" s="1450"/>
      <c r="Y176" s="1275"/>
      <c r="Z176" s="1275"/>
      <c r="AA176" s="1275"/>
      <c r="AB176" s="1275"/>
      <c r="AC176" s="1275"/>
      <c r="AD176" s="1275"/>
      <c r="AE176" s="1275"/>
      <c r="AF176" s="1275"/>
      <c r="AG176" s="1275"/>
      <c r="AH176" s="1275"/>
      <c r="AI176" s="1275"/>
      <c r="AJ176" s="1275"/>
      <c r="AK176" s="1275"/>
    </row>
    <row s="1877" customFormat="1" customHeight="1" ht="17.25">
      <c r="A177" s="1864"/>
      <c r="C177" s="1869"/>
      <c r="D177" s="1855"/>
      <c r="E177" s="1871"/>
      <c r="F177" s="1809"/>
      <c r="G177" s="1872"/>
      <c r="H177" s="2336"/>
      <c r="I177" s="2336"/>
      <c r="J177" s="2372"/>
      <c r="K177" s="1968"/>
      <c r="L177" s="302"/>
      <c r="M177" s="303"/>
      <c r="N177" s="303" t="s">
        <v>168</v>
      </c>
      <c r="O177" s="303"/>
      <c r="P177" s="303"/>
      <c r="Q177" s="303"/>
      <c r="R177" s="303"/>
      <c r="S177" s="1870"/>
      <c r="T177" s="1870"/>
      <c r="U177" s="1870"/>
      <c r="V177" s="1870"/>
      <c r="W177" s="304"/>
      <c r="Y177" s="1275"/>
      <c r="Z177" s="1275"/>
      <c r="AA177" s="1275"/>
      <c r="AB177" s="1275"/>
      <c r="AC177" s="1275"/>
      <c r="AD177" s="1275"/>
      <c r="AE177" s="1275"/>
      <c r="AF177" s="1275"/>
      <c r="AG177" s="1275"/>
      <c r="AH177" s="1275"/>
      <c r="AI177" s="1275"/>
      <c r="AJ177" s="1275"/>
      <c r="AK177" s="1275"/>
    </row>
    <row customHeight="1" ht="17.25">
      <c r="A178" s="0"/>
    </row>
    <row s="1877" customFormat="1" customHeight="1" ht="17.25">
      <c r="A179" s="1864"/>
      <c r="C179" s="1866"/>
      <c r="D179" s="1855"/>
      <c r="E179" s="1871"/>
      <c r="F179" s="1809"/>
      <c r="G179" s="1872"/>
      <c r="H179" s="1855"/>
      <c r="I179" s="1855"/>
      <c r="J179" s="1875"/>
      <c r="K179" s="1872"/>
      <c r="L179" s="1964"/>
      <c r="M179" s="1964" t="s">
        <v>108</v>
      </c>
      <c r="N179" s="2369" t="str">
        <f>IF(Z179="","",INDEX(TERRITORY_MR_LIST,MATCH(Z179,TERRITORY_LIST_ID,0)))</f>
        <v/>
      </c>
      <c r="O179" s="2026" t="s">
        <v>66</v>
      </c>
      <c r="P179" s="1964"/>
      <c r="Q179" s="1964" t="s">
        <v>108</v>
      </c>
      <c r="R179" s="2340" t="s">
        <v>24</v>
      </c>
      <c r="S179" s="2222" t="s">
        <v>56</v>
      </c>
      <c r="T179" s="1827"/>
      <c r="U179" s="1827" t="s">
        <v>108</v>
      </c>
      <c r="V179" s="1451"/>
      <c r="W179" s="2371"/>
      <c r="Y179" s="1283"/>
      <c r="Z179" s="1283"/>
      <c r="AA179" s="1283"/>
      <c r="AB179" s="1283"/>
      <c r="AC179" s="1283"/>
      <c r="AD179" s="1283"/>
      <c r="AE179" s="1283"/>
      <c r="AF179" s="1283"/>
      <c r="AG179" s="1283"/>
      <c r="AH179" s="1283"/>
      <c r="AI179" s="1283"/>
      <c r="AJ179" s="1283"/>
      <c r="AK179" s="1283"/>
      <c r="AL179" s="1868"/>
      <c r="AM179" s="1868"/>
      <c r="AN179" s="1283"/>
      <c r="AO179" s="1283"/>
      <c r="AP179" s="1283"/>
      <c r="AQ179" s="1283"/>
    </row>
    <row s="1877" customFormat="1" customHeight="1" ht="17.25">
      <c r="A180" s="1864"/>
      <c r="C180" s="1869"/>
      <c r="D180" s="1855"/>
      <c r="E180" s="1871"/>
      <c r="F180" s="1809"/>
      <c r="G180" s="1872"/>
      <c r="H180" s="1855"/>
      <c r="I180" s="1855"/>
      <c r="J180" s="1875"/>
      <c r="K180" s="1872"/>
      <c r="L180" s="1964"/>
      <c r="M180" s="1964"/>
      <c r="N180" s="2369"/>
      <c r="O180" s="2027"/>
      <c r="P180" s="1964"/>
      <c r="Q180" s="1964"/>
      <c r="R180" s="2340"/>
      <c r="S180" s="2222"/>
      <c r="T180" s="1452"/>
      <c r="U180" s="1453"/>
      <c r="V180" s="1453"/>
      <c r="W180" s="2371"/>
      <c r="Y180" s="1275"/>
      <c r="Z180" s="1275"/>
      <c r="AA180" s="1275"/>
      <c r="AB180" s="1275"/>
      <c r="AC180" s="1275"/>
      <c r="AD180" s="1275"/>
      <c r="AE180" s="1275"/>
      <c r="AF180" s="1275"/>
      <c r="AG180" s="1275"/>
      <c r="AH180" s="1275"/>
      <c r="AI180" s="1275"/>
      <c r="AJ180" s="1275"/>
      <c r="AK180" s="1275"/>
    </row>
    <row s="1877" customFormat="1" customHeight="1" ht="17.25">
      <c r="A181" s="1864"/>
      <c r="C181" s="1869"/>
      <c r="D181" s="1855"/>
      <c r="E181" s="1871"/>
      <c r="F181" s="1809"/>
      <c r="G181" s="1872"/>
      <c r="H181" s="1855"/>
      <c r="I181" s="1855"/>
      <c r="J181" s="1875"/>
      <c r="K181" s="1872"/>
      <c r="L181" s="2336"/>
      <c r="M181" s="2336"/>
      <c r="N181" s="2370"/>
      <c r="O181" s="1968"/>
      <c r="P181" s="302"/>
      <c r="Q181" s="303"/>
      <c r="R181" s="303" t="s">
        <v>167</v>
      </c>
      <c r="S181" s="1870"/>
      <c r="T181" s="1870"/>
      <c r="U181" s="1870"/>
      <c r="V181" s="1870"/>
      <c r="W181" s="1450"/>
      <c r="Y181" s="1275"/>
      <c r="Z181" s="1275"/>
      <c r="AA181" s="1275"/>
      <c r="AB181" s="1275"/>
      <c r="AC181" s="1275"/>
      <c r="AD181" s="1275"/>
      <c r="AE181" s="1275"/>
      <c r="AF181" s="1275"/>
      <c r="AG181" s="1275"/>
      <c r="AH181" s="1275"/>
      <c r="AI181" s="1275"/>
      <c r="AJ181" s="1275"/>
      <c r="AK181" s="1275"/>
    </row>
    <row customHeight="1" ht="17.25">
      <c r="A182" s="0"/>
    </row>
    <row s="1877" customFormat="1" customHeight="1" ht="17.25">
      <c r="A183" s="1864"/>
      <c r="C183" s="1866"/>
      <c r="D183" s="1855"/>
      <c r="E183" s="1871"/>
      <c r="F183" s="1809"/>
      <c r="G183" s="1872"/>
      <c r="H183" s="1855"/>
      <c r="I183" s="1855"/>
      <c r="J183" s="1875"/>
      <c r="K183" s="1872"/>
      <c r="L183" s="1855"/>
      <c r="M183" s="1855"/>
      <c r="N183" s="1874"/>
      <c r="O183" s="1812"/>
      <c r="P183" s="1964"/>
      <c r="Q183" s="1964" t="s">
        <v>108</v>
      </c>
      <c r="R183" s="2340" t="s">
        <v>24</v>
      </c>
      <c r="S183" s="2222" t="s">
        <v>56</v>
      </c>
      <c r="T183" s="1827"/>
      <c r="U183" s="1827" t="s">
        <v>108</v>
      </c>
      <c r="V183" s="1451"/>
      <c r="W183" s="2371"/>
      <c r="Y183" s="1283"/>
      <c r="Z183" s="1283"/>
      <c r="AA183" s="1283"/>
      <c r="AB183" s="1283"/>
      <c r="AC183" s="1283"/>
      <c r="AD183" s="1283"/>
      <c r="AE183" s="1283"/>
      <c r="AF183" s="1283"/>
      <c r="AG183" s="1283"/>
      <c r="AH183" s="1283"/>
      <c r="AI183" s="1283"/>
      <c r="AJ183" s="1283"/>
      <c r="AK183" s="1283"/>
      <c r="AL183" s="1868"/>
      <c r="AM183" s="1868"/>
      <c r="AN183" s="1283"/>
      <c r="AO183" s="1283"/>
      <c r="AP183" s="1283"/>
      <c r="AQ183" s="1283"/>
    </row>
    <row s="1877" customFormat="1" customHeight="1" ht="17.25">
      <c r="A184" s="1864"/>
      <c r="C184" s="1869"/>
      <c r="D184" s="1855"/>
      <c r="E184" s="1871"/>
      <c r="F184" s="1809"/>
      <c r="G184" s="1872"/>
      <c r="H184" s="1855"/>
      <c r="I184" s="1855"/>
      <c r="J184" s="1875"/>
      <c r="K184" s="1872"/>
      <c r="L184" s="1855"/>
      <c r="M184" s="1855"/>
      <c r="N184" s="1874"/>
      <c r="O184" s="1812"/>
      <c r="P184" s="1964"/>
      <c r="Q184" s="1964"/>
      <c r="R184" s="2340"/>
      <c r="S184" s="2222"/>
      <c r="T184" s="1452"/>
      <c r="U184" s="1453"/>
      <c r="V184" s="1453"/>
      <c r="W184" s="2371"/>
      <c r="Y184" s="1275"/>
      <c r="Z184" s="1275"/>
      <c r="AA184" s="1275"/>
      <c r="AB184" s="1275"/>
      <c r="AC184" s="1275"/>
      <c r="AD184" s="1275"/>
      <c r="AE184" s="1275"/>
      <c r="AF184" s="1275"/>
      <c r="AG184" s="1275"/>
      <c r="AH184" s="1275"/>
      <c r="AI184" s="1275"/>
      <c r="AJ184" s="1275"/>
      <c r="AK184" s="1275"/>
    </row>
    <row customHeight="1" ht="17.25">
      <c r="A185" s="0"/>
    </row>
    <row customHeight="1" ht="16.5">
      <c r="A186" s="1864"/>
      <c r="B186" s="1865"/>
      <c r="C186" s="1869"/>
      <c r="D186" s="2361"/>
      <c r="E186" s="2023"/>
      <c r="F186" s="2023"/>
      <c r="G186" s="1953"/>
      <c r="H186" s="2362"/>
      <c r="I186" s="2374"/>
      <c r="J186" s="1984"/>
      <c r="K186" s="1971"/>
      <c r="L186" s="1971"/>
      <c r="M186" s="1971"/>
      <c r="N186" s="2365"/>
      <c r="O186" s="1971"/>
      <c r="P186" s="1971"/>
      <c r="Q186" s="1971"/>
      <c r="R186" s="2373"/>
      <c r="S186" s="1971"/>
      <c r="T186" s="1808"/>
      <c r="U186" s="1808"/>
      <c r="V186" s="1876"/>
      <c r="W186" s="1313"/>
    </row>
    <row customHeight="1" ht="16.5">
      <c r="A187" s="1864"/>
      <c r="B187" s="1865"/>
      <c r="C187" s="1869"/>
      <c r="D187" s="2361"/>
      <c r="E187" s="2023"/>
      <c r="F187" s="2023"/>
      <c r="G187" s="1953"/>
      <c r="H187" s="2363"/>
      <c r="I187" s="2375"/>
      <c r="J187" s="1985"/>
      <c r="K187" s="1972"/>
      <c r="L187" s="1972"/>
      <c r="M187" s="1972"/>
      <c r="N187" s="2366"/>
      <c r="O187" s="1972"/>
      <c r="P187" s="1972"/>
      <c r="Q187" s="1972"/>
      <c r="R187" s="2367"/>
      <c r="S187" s="1972"/>
      <c r="T187" s="1314"/>
      <c r="U187" s="1314"/>
      <c r="V187" s="1314"/>
      <c r="W187" s="1315"/>
    </row>
    <row customHeight="1" ht="17.25">
      <c r="A188" s="1864"/>
      <c r="B188" s="1865"/>
      <c r="C188" s="1869"/>
      <c r="D188" s="2361"/>
      <c r="E188" s="2023"/>
      <c r="F188" s="2023"/>
      <c r="G188" s="1953"/>
      <c r="H188" s="2363"/>
      <c r="I188" s="2375"/>
      <c r="J188" s="2364"/>
      <c r="K188" s="1972"/>
      <c r="L188" s="1972"/>
      <c r="M188" s="1972"/>
      <c r="N188" s="2367"/>
      <c r="O188" s="1972"/>
      <c r="P188" s="1811"/>
      <c r="Q188" s="1314"/>
      <c r="R188" s="1314"/>
      <c r="S188" s="1877"/>
      <c r="T188" s="1877"/>
      <c r="U188" s="1877"/>
      <c r="V188" s="1877"/>
      <c r="W188" s="1315"/>
    </row>
    <row customHeight="1" ht="17.25">
      <c r="A189" s="1864"/>
      <c r="B189" s="1865"/>
      <c r="C189" s="1869"/>
      <c r="D189" s="2361"/>
      <c r="E189" s="2023"/>
      <c r="F189" s="2023"/>
      <c r="G189" s="1953"/>
      <c r="H189" s="2363"/>
      <c r="I189" s="2375"/>
      <c r="J189" s="2364"/>
      <c r="K189" s="1972"/>
      <c r="L189" s="1314"/>
      <c r="M189" s="1314"/>
      <c r="N189" s="1314"/>
      <c r="O189" s="1314"/>
      <c r="P189" s="1314"/>
      <c r="Q189" s="1314"/>
      <c r="R189" s="1314"/>
      <c r="S189" s="1877"/>
      <c r="T189" s="1877"/>
      <c r="U189" s="1877"/>
      <c r="V189" s="1877"/>
      <c r="W189" s="1315"/>
    </row>
    <row customHeight="1" ht="17.25">
      <c r="A190" s="1864"/>
      <c r="B190" s="1865"/>
      <c r="C190" s="1869"/>
      <c r="D190" s="2361"/>
      <c r="E190" s="2023"/>
      <c r="F190" s="2023"/>
      <c r="G190" s="1953"/>
      <c r="H190" s="1316"/>
      <c r="I190" s="1317"/>
      <c r="J190" s="1317"/>
      <c r="K190" s="1317"/>
      <c r="L190" s="1317"/>
      <c r="M190" s="1317"/>
      <c r="N190" s="1317"/>
      <c r="O190" s="1317"/>
      <c r="P190" s="1317"/>
      <c r="Q190" s="1317"/>
      <c r="R190" s="1317"/>
      <c r="S190" s="1878"/>
      <c r="T190" s="1878"/>
      <c r="U190" s="1878"/>
      <c r="V190" s="1878"/>
      <c r="W190" s="1319"/>
    </row>
    <row r="192" s="1840" customFormat="1" customHeight="1" ht="17.25">
      <c r="A192" s="1840" t="s">
        <v>1167</v>
      </c>
    </row>
    <row customHeight="1" ht="17.25">
      <c r="G193" s="1863"/>
      <c r="H193" s="1863"/>
      <c r="I193" s="1863"/>
      <c r="M193" s="0"/>
    </row>
    <row s="2437" customFormat="1" customHeight="1" ht="15">
      <c r="D194" s="2398"/>
      <c r="E194" s="2018"/>
      <c r="F194" s="2018"/>
      <c r="G194" s="2026"/>
      <c r="H194" s="1591"/>
      <c r="I194" s="2399">
        <v>1</v>
      </c>
      <c r="J194" s="2371"/>
      <c r="K194" s="1605"/>
      <c r="L194" s="2026" t="s">
        <v>66</v>
      </c>
      <c r="M194" s="2026" t="s">
        <v>66</v>
      </c>
      <c r="N194" s="1591"/>
      <c r="O194" s="1964" t="s">
        <v>108</v>
      </c>
      <c r="P194" s="2393"/>
      <c r="Q194" s="1606"/>
      <c r="R194" s="2026" t="s">
        <v>66</v>
      </c>
      <c r="S194" s="2026" t="s">
        <v>66</v>
      </c>
      <c r="T194" s="1879"/>
      <c r="U194" s="1964" t="s">
        <v>108</v>
      </c>
      <c r="V194" s="2395" t="str">
        <f>IF(AK194="","",INDEX(TERRITORY_MR_LIST,MATCH(AK194,TERRITORY_LIST_ID,0)))</f>
        <v/>
      </c>
      <c r="W194" s="1607"/>
      <c r="X194" s="2026" t="s">
        <v>66</v>
      </c>
      <c r="Y194" s="2026" t="s">
        <v>56</v>
      </c>
      <c r="Z194" s="1591"/>
      <c r="AA194" s="1964" t="s">
        <v>108</v>
      </c>
      <c r="AB194" s="2397"/>
      <c r="AC194" s="1608"/>
      <c r="AD194" s="2026" t="s">
        <v>66</v>
      </c>
      <c r="AE194" s="2026" t="s">
        <v>56</v>
      </c>
      <c r="AF194" s="1589"/>
      <c r="AG194" s="1836" t="s">
        <v>108</v>
      </c>
      <c r="AH194" s="1599"/>
      <c r="AI194" s="1826"/>
    </row>
    <row s="2437" customFormat="1" customHeight="1" ht="15">
      <c r="D195" s="2398"/>
      <c r="E195" s="2018"/>
      <c r="F195" s="2018"/>
      <c r="G195" s="2027"/>
      <c r="H195" s="1591"/>
      <c r="I195" s="2399"/>
      <c r="J195" s="2371"/>
      <c r="K195" s="1590"/>
      <c r="L195" s="2027"/>
      <c r="M195" s="2027"/>
      <c r="N195" s="1591"/>
      <c r="O195" s="1964"/>
      <c r="P195" s="2393"/>
      <c r="Q195" s="1587"/>
      <c r="R195" s="2027"/>
      <c r="S195" s="2027"/>
      <c r="T195" s="1879"/>
      <c r="U195" s="1964"/>
      <c r="V195" s="2396"/>
      <c r="W195" s="1588"/>
      <c r="X195" s="2027"/>
      <c r="Y195" s="2027"/>
      <c r="Z195" s="1591"/>
      <c r="AA195" s="1964"/>
      <c r="AB195" s="2324"/>
      <c r="AC195" s="1592"/>
      <c r="AD195" s="1968"/>
      <c r="AE195" s="1968"/>
      <c r="AF195" s="1593"/>
      <c r="AG195" s="1594"/>
      <c r="AH195" s="2401" t="s">
        <v>1168</v>
      </c>
      <c r="AI195" s="2402"/>
    </row>
    <row s="2437" customFormat="1" customHeight="1" ht="15">
      <c r="D196" s="2398"/>
      <c r="E196" s="2018"/>
      <c r="F196" s="2018"/>
      <c r="G196" s="2027"/>
      <c r="H196" s="1591"/>
      <c r="I196" s="2399"/>
      <c r="J196" s="2371"/>
      <c r="K196" s="1590"/>
      <c r="L196" s="2027"/>
      <c r="M196" s="2027"/>
      <c r="N196" s="1591"/>
      <c r="O196" s="1964"/>
      <c r="P196" s="2393"/>
      <c r="Q196" s="1587"/>
      <c r="R196" s="2027"/>
      <c r="S196" s="2027"/>
      <c r="T196" s="1879"/>
      <c r="U196" s="1964"/>
      <c r="V196" s="2396"/>
      <c r="W196" s="1588"/>
      <c r="X196" s="2027"/>
      <c r="Y196" s="2027"/>
      <c r="Z196" s="1629"/>
      <c r="AA196" s="1596"/>
      <c r="AB196" s="2403" t="s">
        <v>1169</v>
      </c>
      <c r="AC196" s="2403"/>
      <c r="AD196" s="2403"/>
      <c r="AE196" s="2403"/>
      <c r="AF196" s="2403"/>
      <c r="AG196" s="2403"/>
      <c r="AH196" s="2403"/>
      <c r="AI196" s="2404"/>
    </row>
    <row s="2437" customFormat="1" customHeight="1" ht="15">
      <c r="D197" s="2398"/>
      <c r="E197" s="2018"/>
      <c r="F197" s="2018"/>
      <c r="G197" s="2027"/>
      <c r="H197" s="1591"/>
      <c r="I197" s="2399"/>
      <c r="J197" s="2371"/>
      <c r="K197" s="1590"/>
      <c r="L197" s="2027"/>
      <c r="M197" s="2027"/>
      <c r="N197" s="1591"/>
      <c r="O197" s="1964"/>
      <c r="P197" s="2405"/>
      <c r="Q197" s="1587"/>
      <c r="R197" s="2027"/>
      <c r="S197" s="2027"/>
      <c r="T197" s="1880"/>
      <c r="U197" s="1630"/>
      <c r="V197" s="2401" t="s">
        <v>102</v>
      </c>
      <c r="W197" s="2401"/>
      <c r="X197" s="2401"/>
      <c r="Y197" s="2401"/>
      <c r="Z197" s="2401"/>
      <c r="AA197" s="2401"/>
      <c r="AB197" s="2401"/>
      <c r="AC197" s="2401"/>
      <c r="AD197" s="2401"/>
      <c r="AE197" s="2401"/>
      <c r="AF197" s="2401"/>
      <c r="AG197" s="2401"/>
      <c r="AH197" s="2401"/>
      <c r="AI197" s="2402"/>
    </row>
    <row s="2437" customFormat="1" customHeight="1" ht="11.25">
      <c r="D198" s="2398"/>
      <c r="E198" s="2018"/>
      <c r="F198" s="2018"/>
      <c r="G198" s="2027"/>
      <c r="H198" s="1595"/>
      <c r="I198" s="2399"/>
      <c r="J198" s="2400"/>
      <c r="K198" s="1590"/>
      <c r="L198" s="2027"/>
      <c r="M198" s="2027"/>
      <c r="N198" s="1595"/>
      <c r="O198" s="1596"/>
      <c r="P198" s="2401" t="s">
        <v>1170</v>
      </c>
      <c r="Q198" s="2401"/>
      <c r="R198" s="2401"/>
      <c r="S198" s="2401"/>
      <c r="T198" s="2401"/>
      <c r="U198" s="2401"/>
      <c r="V198" s="2401"/>
      <c r="W198" s="2401"/>
      <c r="X198" s="2401"/>
      <c r="Y198" s="2401"/>
      <c r="Z198" s="2401"/>
      <c r="AA198" s="2401"/>
      <c r="AB198" s="2401"/>
      <c r="AC198" s="2401"/>
      <c r="AD198" s="2401"/>
      <c r="AE198" s="2401"/>
      <c r="AF198" s="2401"/>
      <c r="AG198" s="2401"/>
      <c r="AH198" s="2401"/>
      <c r="AI198" s="2402"/>
    </row>
    <row s="1581" customFormat="1" customHeight="1" ht="11.25">
      <c r="D199" s="2398"/>
      <c r="E199" s="2018"/>
      <c r="F199" s="2018"/>
      <c r="G199" s="1968"/>
      <c r="H199" s="1597"/>
      <c r="I199" s="1598"/>
      <c r="J199" s="2401" t="s">
        <v>180</v>
      </c>
      <c r="K199" s="2401"/>
      <c r="L199" s="2401"/>
      <c r="M199" s="2401"/>
      <c r="N199" s="2401"/>
      <c r="O199" s="2401"/>
      <c r="P199" s="2401"/>
      <c r="Q199" s="2401"/>
      <c r="R199" s="2401"/>
      <c r="S199" s="2401"/>
      <c r="T199" s="2401"/>
      <c r="U199" s="2401"/>
      <c r="V199" s="2401"/>
      <c r="W199" s="2401"/>
      <c r="X199" s="2401"/>
      <c r="Y199" s="2401"/>
      <c r="Z199" s="2401"/>
      <c r="AA199" s="2401"/>
      <c r="AB199" s="2401"/>
      <c r="AC199" s="2401"/>
      <c r="AD199" s="2401"/>
      <c r="AE199" s="2401"/>
      <c r="AF199" s="2401"/>
      <c r="AG199" s="2401"/>
      <c r="AH199" s="2401"/>
      <c r="AI199" s="2402"/>
      <c r="BK199" s="0"/>
    </row>
    <row customHeight="1" ht="17.25">
      <c r="G200" s="1863"/>
      <c r="I200" s="1863"/>
      <c r="J200" s="1863"/>
      <c r="N200" s="0"/>
    </row>
    <row s="2437" customFormat="1" customHeight="1" ht="15">
      <c r="D201" s="2398"/>
      <c r="E201" s="2018"/>
      <c r="F201" s="2018"/>
      <c r="G201" s="2023"/>
      <c r="H201" s="1625"/>
      <c r="I201" s="2028"/>
      <c r="J201" s="1984"/>
      <c r="K201" s="1810"/>
      <c r="L201" s="1971"/>
      <c r="M201" s="1971"/>
      <c r="N201" s="1610"/>
      <c r="O201" s="1971"/>
      <c r="P201" s="1984"/>
      <c r="Q201" s="1814"/>
      <c r="R201" s="1971"/>
      <c r="S201" s="1971"/>
      <c r="T201" s="1881"/>
      <c r="U201" s="1971"/>
      <c r="V201" s="1984"/>
      <c r="W201" s="1613"/>
      <c r="X201" s="1971"/>
      <c r="Y201" s="1971"/>
      <c r="Z201" s="1610"/>
      <c r="AA201" s="1971"/>
      <c r="AB201" s="1984"/>
      <c r="AC201" s="1614"/>
      <c r="AD201" s="1971"/>
      <c r="AE201" s="1971"/>
      <c r="AF201" s="1808"/>
      <c r="AG201" s="1808"/>
      <c r="AH201" s="1615"/>
      <c r="AI201" s="1313"/>
    </row>
    <row s="2437" customFormat="1" customHeight="1" ht="15">
      <c r="D202" s="2398"/>
      <c r="E202" s="2018"/>
      <c r="F202" s="2018"/>
      <c r="G202" s="2023"/>
      <c r="H202" s="1626"/>
      <c r="I202" s="2029"/>
      <c r="J202" s="1985"/>
      <c r="K202" s="1635"/>
      <c r="L202" s="1972"/>
      <c r="M202" s="1972"/>
      <c r="N202" s="1616"/>
      <c r="O202" s="1972"/>
      <c r="P202" s="1985"/>
      <c r="Q202" s="1815"/>
      <c r="R202" s="1972"/>
      <c r="S202" s="1972"/>
      <c r="T202" s="1882"/>
      <c r="U202" s="1972"/>
      <c r="V202" s="1985"/>
      <c r="W202" s="1619"/>
      <c r="X202" s="1972"/>
      <c r="Y202" s="1972"/>
      <c r="Z202" s="1616"/>
      <c r="AA202" s="1972"/>
      <c r="AB202" s="1985"/>
      <c r="AC202" s="1620"/>
      <c r="AD202" s="1972"/>
      <c r="AE202" s="1972"/>
      <c r="AF202" s="1813"/>
      <c r="AG202" s="1813"/>
      <c r="AH202" s="2032"/>
      <c r="AI202" s="2033"/>
    </row>
    <row s="2437" customFormat="1" customHeight="1" ht="15">
      <c r="D203" s="2398"/>
      <c r="E203" s="2018"/>
      <c r="F203" s="2018"/>
      <c r="G203" s="2023"/>
      <c r="H203" s="1626"/>
      <c r="I203" s="2029"/>
      <c r="J203" s="1985"/>
      <c r="K203" s="1635"/>
      <c r="L203" s="1972"/>
      <c r="M203" s="1972"/>
      <c r="N203" s="1616"/>
      <c r="O203" s="1972"/>
      <c r="P203" s="1985"/>
      <c r="Q203" s="1815"/>
      <c r="R203" s="1972"/>
      <c r="S203" s="1972"/>
      <c r="T203" s="1882"/>
      <c r="U203" s="1972"/>
      <c r="V203" s="1985"/>
      <c r="W203" s="1619"/>
      <c r="X203" s="1972"/>
      <c r="Y203" s="1972"/>
      <c r="Z203" s="1811"/>
      <c r="AA203" s="1813"/>
      <c r="AB203" s="2032"/>
      <c r="AC203" s="2032"/>
      <c r="AD203" s="2032"/>
      <c r="AE203" s="2032"/>
      <c r="AF203" s="2032"/>
      <c r="AG203" s="2032"/>
      <c r="AH203" s="2032"/>
      <c r="AI203" s="2033"/>
    </row>
    <row s="2437" customFormat="1" customHeight="1" ht="15">
      <c r="D204" s="2398"/>
      <c r="E204" s="2018"/>
      <c r="F204" s="2018"/>
      <c r="G204" s="2023"/>
      <c r="H204" s="1626"/>
      <c r="I204" s="2029"/>
      <c r="J204" s="1985"/>
      <c r="K204" s="1635"/>
      <c r="L204" s="1972"/>
      <c r="M204" s="1972"/>
      <c r="N204" s="1616"/>
      <c r="O204" s="1972"/>
      <c r="P204" s="1985"/>
      <c r="Q204" s="1815"/>
      <c r="R204" s="1972"/>
      <c r="S204" s="1972"/>
      <c r="T204" s="1883"/>
      <c r="U204" s="1623"/>
      <c r="V204" s="2032"/>
      <c r="W204" s="2032"/>
      <c r="X204" s="2032"/>
      <c r="Y204" s="2032"/>
      <c r="Z204" s="2032"/>
      <c r="AA204" s="2032"/>
      <c r="AB204" s="2032"/>
      <c r="AC204" s="2032"/>
      <c r="AD204" s="2032"/>
      <c r="AE204" s="2032"/>
      <c r="AF204" s="2032"/>
      <c r="AG204" s="2032"/>
      <c r="AH204" s="2032"/>
      <c r="AI204" s="2033"/>
    </row>
    <row s="2437" customFormat="1" customHeight="1" ht="11.25">
      <c r="D205" s="2398"/>
      <c r="E205" s="2018"/>
      <c r="F205" s="2018"/>
      <c r="G205" s="2023"/>
      <c r="H205" s="1627"/>
      <c r="I205" s="2029"/>
      <c r="J205" s="1985"/>
      <c r="K205" s="1635"/>
      <c r="L205" s="1972"/>
      <c r="M205" s="1972"/>
      <c r="N205" s="1813"/>
      <c r="O205" s="1813"/>
      <c r="P205" s="2032"/>
      <c r="Q205" s="2032"/>
      <c r="R205" s="2032"/>
      <c r="S205" s="2032"/>
      <c r="T205" s="2032"/>
      <c r="U205" s="2032"/>
      <c r="V205" s="2032"/>
      <c r="W205" s="2032"/>
      <c r="X205" s="2032"/>
      <c r="Y205" s="2032"/>
      <c r="Z205" s="2032"/>
      <c r="AA205" s="2032"/>
      <c r="AB205" s="2032"/>
      <c r="AC205" s="2032"/>
      <c r="AD205" s="2032"/>
      <c r="AE205" s="2032"/>
      <c r="AF205" s="2032"/>
      <c r="AG205" s="2032"/>
      <c r="AH205" s="2032"/>
      <c r="AI205" s="2033"/>
    </row>
    <row s="1581" customFormat="1" customHeight="1" ht="11.25">
      <c r="D206" s="2398"/>
      <c r="E206" s="2018"/>
      <c r="F206" s="2018"/>
      <c r="G206" s="2034"/>
      <c r="H206" s="1624"/>
      <c r="I206" s="1628"/>
      <c r="J206" s="2030"/>
      <c r="K206" s="2030"/>
      <c r="L206" s="2030"/>
      <c r="M206" s="2030"/>
      <c r="N206" s="2030"/>
      <c r="O206" s="2030"/>
      <c r="P206" s="2030"/>
      <c r="Q206" s="2030"/>
      <c r="R206" s="2030"/>
      <c r="S206" s="2030"/>
      <c r="T206" s="2030"/>
      <c r="U206" s="2030"/>
      <c r="V206" s="2030"/>
      <c r="W206" s="2030"/>
      <c r="X206" s="2030"/>
      <c r="Y206" s="2030"/>
      <c r="Z206" s="2030"/>
      <c r="AA206" s="2030"/>
      <c r="AB206" s="2030"/>
      <c r="AC206" s="2030"/>
      <c r="AD206" s="2030"/>
      <c r="AE206" s="2030"/>
      <c r="AF206" s="2030"/>
      <c r="AG206" s="2030"/>
      <c r="AH206" s="2030"/>
      <c r="AI206" s="2031"/>
      <c r="BK206" s="0"/>
    </row>
    <row customHeight="1" ht="17.25">
      <c r="A207" s="0"/>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4DD8D6B-3F2C-671C-0E6E-BE08BB2AAC5E}"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1199" width="32.57421875" customWidth="1"/>
    <col min="2" max="2" style="2437" width="11.00390625" customWidth="1"/>
    <col min="3" max="3" style="2437" width="9.140625"/>
    <col min="4" max="4" style="2437" width="26.57421875" customWidth="1"/>
    <col min="5" max="5" style="1848" width="27.7109375" customWidth="1"/>
    <col min="6" max="6" style="1848" width="23.57421875" customWidth="1"/>
    <col min="7" max="7" style="1848" width="31.421875" customWidth="1"/>
    <col min="8" max="8" style="1848" width="40.8515625" customWidth="1"/>
    <col min="9" max="9" style="1848" width="14.57421875" customWidth="1"/>
    <col min="10" max="10" style="1848" width="26.8515625" customWidth="1"/>
    <col min="11" max="11" style="1848" width="50.00390625" customWidth="1"/>
    <col min="12" max="12" style="1848" width="52.421875" customWidth="1"/>
    <col min="13" max="13" style="1848" width="10.7109375" customWidth="1"/>
    <col min="14" max="14" style="1848" width="55.140625" customWidth="1"/>
    <col min="15" max="15" style="1848" width="31.8515625" customWidth="1"/>
    <col min="16" max="16" style="1848" width="23.8515625" customWidth="1"/>
    <col min="17" max="17" style="1848" width="46.57421875" customWidth="1"/>
    <col min="18" max="18" style="1848" width="24.00390625" customWidth="1"/>
    <col min="19" max="19" style="1848" width="20.57421875" customWidth="1"/>
    <col min="20" max="20" style="1848" width="22.00390625" customWidth="1"/>
    <col min="21" max="22" style="1848" width="26.421875" customWidth="1"/>
    <col min="23" max="23" style="1848" width="8.28125" hidden="1" customWidth="1"/>
    <col min="24" max="24" style="1848" width="59.7109375" customWidth="1"/>
    <col min="25" max="25" style="1848" width="49.140625" customWidth="1"/>
    <col min="26" max="26" style="1848" width="11.140625" customWidth="1"/>
    <col min="27" max="30" style="1848" width="29.00390625" customWidth="1"/>
    <col min="31" max="31" style="1848" width="9.140625"/>
    <col min="32" max="32" style="1848" width="34.7109375" customWidth="1"/>
    <col min="33" max="33" style="1848" width="9.140625"/>
    <col min="34" max="35" style="1848" width="34.421875" customWidth="1"/>
    <col min="36" max="36" style="1848" width="9.140625"/>
    <col min="37" max="37" style="1848" width="24.57421875" customWidth="1"/>
    <col min="38" max="38" style="1848" width="9.140625"/>
    <col min="39" max="39" style="1848" width="26.140625" customWidth="1"/>
    <col min="40" max="40" style="1848" width="1.7109375" customWidth="1"/>
    <col min="41" max="41" style="1848" width="9.140625"/>
    <col min="42" max="43" style="1848" width="47.8515625" customWidth="1"/>
    <col min="44" max="44" style="1848" width="1.7109375" customWidth="1"/>
    <col min="45" max="45" style="1848" width="21.421875" customWidth="1"/>
    <col min="46" max="46" style="1848" width="1.7109375" customWidth="1"/>
    <col min="47" max="47" style="1848" width="31.28125" customWidth="1"/>
    <col min="48" max="48" style="1848" width="1.7109375" customWidth="1"/>
    <col min="49" max="50" style="1848" width="9.140625"/>
    <col min="51" max="51" style="1848" width="3.7109375" customWidth="1"/>
    <col min="52" max="52" style="1848" width="55.00390625" customWidth="1"/>
    <col min="53" max="53" style="1848" width="9.140625"/>
    <col min="54" max="54" style="1848" width="35.140625" customWidth="1"/>
    <col min="55" max="55" style="1848" width="9.140625"/>
    <col min="56" max="56" style="1848" width="1.7109375" customWidth="1"/>
    <col min="57" max="57" style="1266" width="12.57421875" customWidth="1"/>
    <col min="58" max="58" style="1266" width="14.28125" customWidth="1"/>
    <col min="59" max="59" style="1848" width="30.7109375" customWidth="1"/>
    <col min="60" max="60" style="1864" width="40.7109375" customWidth="1"/>
    <col min="61" max="61" style="1864" width="15.00390625" customWidth="1"/>
    <col min="62" max="62" style="1864" width="40.7109375" customWidth="1"/>
    <col min="63" max="63" style="1864" width="2.7109375" customWidth="1"/>
    <col min="64" max="64" style="1864" width="44.7109375" customWidth="1"/>
    <col min="65" max="65" style="1864" width="2.7109375" customWidth="1"/>
    <col min="66" max="66" style="1864" width="40.7109375" customWidth="1"/>
    <col min="67" max="68" style="1848" width="9.140625"/>
    <col min="69" max="69" style="1848" width="18.140625" customWidth="1"/>
    <col min="70" max="70" style="1848" width="57.8515625" customWidth="1"/>
    <col min="71" max="71" style="1848" width="1.7109375" customWidth="1"/>
    <col min="72" max="72" style="1848" width="22.57421875" customWidth="1"/>
    <col min="73" max="73" style="1848" width="57.8515625" customWidth="1"/>
    <col min="74" max="74" style="1848" width="1.7109375" customWidth="1"/>
    <col min="75" max="75" style="1848" width="22.57421875" customWidth="1"/>
    <col min="76" max="76" style="1848" width="57.8515625" customWidth="1"/>
    <col min="77" max="77" style="1848" width="1.7109375" customWidth="1"/>
    <col min="78" max="78" style="1848" width="22.57421875" customWidth="1"/>
    <col min="79" max="79" style="1848" width="57.8515625" customWidth="1"/>
    <col min="80" max="81" style="1848" width="9.140625"/>
    <col min="82" max="82" style="1848" width="49.57421875" customWidth="1"/>
  </cols>
  <sheetData>
    <row s="1444" customFormat="1" customHeight="1" ht="11.25">
      <c r="A1" s="1062" t="s">
        <v>1171</v>
      </c>
      <c r="B1" s="1062" t="s">
        <v>1172</v>
      </c>
      <c r="C1" s="1062" t="s">
        <v>1173</v>
      </c>
      <c r="D1" s="1062" t="s">
        <v>1174</v>
      </c>
      <c r="E1" s="1062" t="s">
        <v>1175</v>
      </c>
      <c r="F1" s="1062" t="s">
        <v>1176</v>
      </c>
      <c r="G1" s="1062" t="s">
        <v>1177</v>
      </c>
      <c r="H1" s="1062" t="s">
        <v>1178</v>
      </c>
      <c r="I1" s="1062" t="s">
        <v>1179</v>
      </c>
      <c r="J1" s="1062" t="s">
        <v>1180</v>
      </c>
      <c r="K1" s="1062" t="s">
        <v>1181</v>
      </c>
      <c r="L1" s="1062" t="s">
        <v>1182</v>
      </c>
      <c r="M1" s="1062"/>
      <c r="N1" s="1062" t="s">
        <v>1183</v>
      </c>
      <c r="O1" s="1062" t="s">
        <v>1184</v>
      </c>
      <c r="P1" s="1062" t="s">
        <v>1185</v>
      </c>
      <c r="Q1" s="1062" t="s">
        <v>1186</v>
      </c>
      <c r="R1" s="1062" t="s">
        <v>1187</v>
      </c>
      <c r="S1" s="1062" t="s">
        <v>1188</v>
      </c>
      <c r="T1" s="1062" t="s">
        <v>1189</v>
      </c>
      <c r="U1" s="1062" t="s">
        <v>1190</v>
      </c>
      <c r="V1" s="1062"/>
      <c r="W1" s="791" t="s">
        <v>1191</v>
      </c>
      <c r="X1" s="1062" t="s">
        <v>1192</v>
      </c>
      <c r="Y1" s="1062" t="s">
        <v>1193</v>
      </c>
      <c r="Z1" s="1062"/>
      <c r="AA1" s="1062" t="s">
        <v>1194</v>
      </c>
      <c r="AB1" s="1062"/>
      <c r="AC1" s="1062" t="s">
        <v>1195</v>
      </c>
      <c r="AD1" s="1062"/>
      <c r="AF1" s="1062" t="s">
        <v>1196</v>
      </c>
      <c r="AH1" s="1062" t="s">
        <v>1197</v>
      </c>
      <c r="AI1" s="1062" t="s">
        <v>1198</v>
      </c>
      <c r="AK1" s="1062" t="s">
        <v>1199</v>
      </c>
      <c r="AM1" s="1062" t="s">
        <v>1200</v>
      </c>
      <c r="AP1" s="1062" t="s">
        <v>1201</v>
      </c>
      <c r="AQ1" s="1062" t="s">
        <v>1202</v>
      </c>
      <c r="AS1" s="1062" t="s">
        <v>1203</v>
      </c>
      <c r="AU1" s="1062" t="s">
        <v>1204</v>
      </c>
      <c r="AW1" s="1062" t="s">
        <v>1205</v>
      </c>
      <c r="AX1" s="1062" t="s">
        <v>1206</v>
      </c>
      <c r="AZ1" s="1147" t="s">
        <v>1207</v>
      </c>
      <c r="BB1" s="1062" t="s">
        <v>1208</v>
      </c>
      <c r="BC1" s="1062"/>
      <c r="BE1" s="1062" t="s">
        <v>1209</v>
      </c>
      <c r="BF1" s="1062" t="s">
        <v>1210</v>
      </c>
      <c r="BH1" s="1064" t="s">
        <v>721</v>
      </c>
      <c r="BI1" s="1065"/>
      <c r="BJ1" s="1066" t="s">
        <v>1211</v>
      </c>
      <c r="BK1" s="1065"/>
      <c r="BL1" s="1067" t="s">
        <v>819</v>
      </c>
      <c r="BM1" s="1065"/>
      <c r="BN1" s="1068" t="s">
        <v>1212</v>
      </c>
      <c r="BS1" s="1444"/>
    </row>
    <row customHeight="1" ht="11.25">
      <c r="A2" s="1069" t="s">
        <v>1213</v>
      </c>
      <c r="B2" s="1070">
        <v>2000</v>
      </c>
      <c r="C2" s="1070">
        <v>2022</v>
      </c>
      <c r="D2" s="1070" t="s">
        <v>66</v>
      </c>
      <c r="E2" s="1071" t="s">
        <v>1214</v>
      </c>
      <c r="F2" s="1071" t="s">
        <v>1215</v>
      </c>
      <c r="G2" s="1071" t="s">
        <v>1216</v>
      </c>
      <c r="H2" s="1072" t="s">
        <v>54</v>
      </c>
      <c r="I2" s="1071" t="s">
        <v>108</v>
      </c>
      <c r="J2" s="1071" t="s">
        <v>1217</v>
      </c>
      <c r="K2" s="1073" t="s">
        <v>1218</v>
      </c>
      <c r="L2" s="1074"/>
      <c r="M2" s="1073">
        <v>1</v>
      </c>
      <c r="N2" s="1157" t="s">
        <v>1219</v>
      </c>
      <c r="O2" s="1072" t="s">
        <v>455</v>
      </c>
      <c r="P2" s="1075" t="s">
        <v>33</v>
      </c>
      <c r="Q2" s="1076" t="s">
        <v>453</v>
      </c>
      <c r="R2" s="123" t="s">
        <v>1220</v>
      </c>
      <c r="S2" s="123" t="s">
        <v>1221</v>
      </c>
      <c r="T2" s="1077" t="s">
        <v>1222</v>
      </c>
      <c r="U2" s="1074" t="s">
        <v>1223</v>
      </c>
      <c r="V2" s="1078">
        <v>1</v>
      </c>
      <c r="W2" s="1079"/>
      <c r="X2" s="1079" t="s">
        <v>1224</v>
      </c>
      <c r="Y2" s="1070" t="s">
        <v>1225</v>
      </c>
      <c r="Z2" s="1080"/>
      <c r="AA2" s="1070" t="s">
        <v>1226</v>
      </c>
      <c r="AB2" s="1081" t="s">
        <v>1226</v>
      </c>
      <c r="AC2" s="1070" t="s">
        <v>1227</v>
      </c>
      <c r="AD2" s="1081" t="s">
        <v>1227</v>
      </c>
      <c r="AF2" s="1072" t="s">
        <v>1223</v>
      </c>
      <c r="AH2" s="1071" t="s">
        <v>1228</v>
      </c>
      <c r="AI2" s="1071" t="s">
        <v>1228</v>
      </c>
      <c r="AK2" s="1071" t="s">
        <v>1229</v>
      </c>
      <c r="AM2" s="1071" t="s">
        <v>1230</v>
      </c>
      <c r="AP2" s="1082" t="s">
        <v>1224</v>
      </c>
      <c r="AQ2" s="1083" t="s">
        <v>1224</v>
      </c>
      <c r="AS2" s="1070" t="s">
        <v>1231</v>
      </c>
      <c r="AU2" s="1115" t="s">
        <v>1232</v>
      </c>
      <c r="AW2" s="1115" t="s">
        <v>1233</v>
      </c>
      <c r="AX2" s="1115" t="s">
        <v>1233</v>
      </c>
      <c r="AZ2" s="1115" t="s">
        <v>52</v>
      </c>
      <c r="BB2" s="1115" t="s">
        <v>1234</v>
      </c>
      <c r="BC2" s="1115" t="s">
        <v>1235</v>
      </c>
      <c r="BE2" s="1115">
        <v>2000</v>
      </c>
      <c r="BF2" s="1115" t="s">
        <v>1236</v>
      </c>
    </row>
    <row customHeight="1" ht="11.25">
      <c r="A3" s="1069" t="s">
        <v>1237</v>
      </c>
      <c r="B3" s="1070">
        <v>2001</v>
      </c>
      <c r="C3" s="1070">
        <v>2023</v>
      </c>
      <c r="D3" s="1070" t="s">
        <v>56</v>
      </c>
      <c r="E3" s="1071" t="s">
        <v>1238</v>
      </c>
      <c r="F3" s="1071" t="s">
        <v>1239</v>
      </c>
      <c r="G3" s="1071" t="s">
        <v>1240</v>
      </c>
      <c r="H3" s="1072" t="s">
        <v>1241</v>
      </c>
      <c r="I3" s="1071" t="s">
        <v>109</v>
      </c>
      <c r="J3" s="1071" t="s">
        <v>555</v>
      </c>
      <c r="K3" s="1073" t="s">
        <v>1242</v>
      </c>
      <c r="L3" s="1074">
        <f>_xlfn.IFERROR(MATCH(K3,OFFER_METHOD,0),0)</f>
        <v>0</v>
      </c>
      <c r="M3" s="1073">
        <v>2</v>
      </c>
      <c r="N3" s="1157" t="s">
        <v>1243</v>
      </c>
      <c r="O3" s="1072" t="s">
        <v>1244</v>
      </c>
      <c r="P3" s="1075" t="s">
        <v>1245</v>
      </c>
      <c r="Q3" s="1076" t="s">
        <v>1246</v>
      </c>
      <c r="R3" s="123" t="s">
        <v>1247</v>
      </c>
      <c r="S3" s="123" t="s">
        <v>1248</v>
      </c>
      <c r="T3" s="1077" t="s">
        <v>1249</v>
      </c>
      <c r="U3" s="1074" t="s">
        <v>1250</v>
      </c>
      <c r="V3" s="1078">
        <v>2</v>
      </c>
      <c r="W3" s="1079"/>
      <c r="X3" s="1079" t="s">
        <v>1251</v>
      </c>
      <c r="Y3" s="1070" t="s">
        <v>1225</v>
      </c>
      <c r="Z3" s="1080"/>
      <c r="AA3" s="1070" t="s">
        <v>1252</v>
      </c>
      <c r="AB3" s="1081" t="s">
        <v>1252</v>
      </c>
      <c r="AC3" s="1070" t="s">
        <v>1253</v>
      </c>
      <c r="AD3" s="1081" t="s">
        <v>1253</v>
      </c>
      <c r="AF3" s="1072" t="s">
        <v>1250</v>
      </c>
      <c r="AH3" s="1071" t="s">
        <v>1254</v>
      </c>
      <c r="AI3" s="1071" t="s">
        <v>1255</v>
      </c>
      <c r="AK3" s="1071" t="s">
        <v>1256</v>
      </c>
      <c r="AM3" s="1071" t="s">
        <v>1257</v>
      </c>
      <c r="AP3" s="1082" t="s">
        <v>1258</v>
      </c>
      <c r="AQ3" s="1083" t="s">
        <v>1258</v>
      </c>
      <c r="AS3" s="1070" t="s">
        <v>1259</v>
      </c>
      <c r="AU3" s="1115" t="s">
        <v>1260</v>
      </c>
      <c r="AW3" s="1115" t="s">
        <v>1261</v>
      </c>
      <c r="AX3" s="1115" t="s">
        <v>1261</v>
      </c>
      <c r="AZ3" s="1115" t="s">
        <v>1262</v>
      </c>
      <c r="BB3" s="1115" t="s">
        <v>1263</v>
      </c>
      <c r="BC3" s="1115" t="s">
        <v>1235</v>
      </c>
      <c r="BE3" s="1115">
        <v>2001</v>
      </c>
      <c r="BF3" s="1115" t="s">
        <v>1264</v>
      </c>
      <c r="BH3" s="1062" t="s">
        <v>1265</v>
      </c>
      <c r="BJ3" s="1062" t="s">
        <v>1266</v>
      </c>
      <c r="BL3" s="1062" t="s">
        <v>1267</v>
      </c>
      <c r="BN3" s="1062" t="s">
        <v>1268</v>
      </c>
      <c r="BR3" s="1062" t="s">
        <v>1269</v>
      </c>
      <c r="BS3" s="1445"/>
      <c r="BT3" s="1065"/>
      <c r="BU3" s="1062" t="s">
        <v>1270</v>
      </c>
      <c r="BV3" s="1065"/>
      <c r="BW3" s="0"/>
      <c r="BX3" s="1716" t="s">
        <v>1271</v>
      </c>
      <c r="CA3" s="1062" t="s">
        <v>1272</v>
      </c>
    </row>
    <row customHeight="1" ht="11.25">
      <c r="A4" s="1069" t="s">
        <v>1273</v>
      </c>
      <c r="B4" s="1070">
        <v>2002</v>
      </c>
      <c r="C4" s="1070">
        <v>2024</v>
      </c>
      <c r="E4" s="1071" t="s">
        <v>1274</v>
      </c>
      <c r="F4" s="1071" t="s">
        <v>1275</v>
      </c>
      <c r="H4" s="1072" t="s">
        <v>1276</v>
      </c>
      <c r="I4" s="1071" t="s">
        <v>89</v>
      </c>
      <c r="J4" s="1071" t="s">
        <v>1277</v>
      </c>
      <c r="K4" s="1073" t="s">
        <v>1278</v>
      </c>
      <c r="L4" s="1074">
        <f>_xlfn.IFERROR(MATCH(K4,OFFER_METHOD,0),0)</f>
        <v>0</v>
      </c>
      <c r="M4" s="1073">
        <v>3</v>
      </c>
      <c r="N4" s="1157" t="s">
        <v>1279</v>
      </c>
      <c r="O4" s="1071" t="s">
        <v>1280</v>
      </c>
      <c r="Q4" s="1076" t="s">
        <v>1281</v>
      </c>
      <c r="R4" s="123" t="s">
        <v>1282</v>
      </c>
      <c r="S4" s="123" t="s">
        <v>1283</v>
      </c>
      <c r="T4" s="1077" t="s">
        <v>1284</v>
      </c>
      <c r="U4" s="1074" t="s">
        <v>1285</v>
      </c>
      <c r="V4" s="1078">
        <v>3</v>
      </c>
      <c r="W4" s="1079"/>
      <c r="X4" s="1079" t="s">
        <v>1286</v>
      </c>
      <c r="Y4" s="1070" t="s">
        <v>1225</v>
      </c>
      <c r="Z4" s="1085"/>
      <c r="AC4" s="1070" t="s">
        <v>1287</v>
      </c>
      <c r="AD4" s="1081" t="s">
        <v>1287</v>
      </c>
      <c r="AF4" s="1072" t="s">
        <v>1285</v>
      </c>
      <c r="AH4" s="1072" t="s">
        <v>1288</v>
      </c>
      <c r="AK4" s="1071" t="s">
        <v>1289</v>
      </c>
      <c r="AM4" s="1071" t="s">
        <v>1290</v>
      </c>
      <c r="AP4" s="1082" t="s">
        <v>1251</v>
      </c>
      <c r="AQ4" s="1083" t="s">
        <v>1251</v>
      </c>
      <c r="AS4" s="1070" t="s">
        <v>1291</v>
      </c>
      <c r="AU4" s="1115" t="s">
        <v>1292</v>
      </c>
      <c r="AW4" s="1115" t="s">
        <v>1293</v>
      </c>
      <c r="AX4" s="1115" t="s">
        <v>1293</v>
      </c>
      <c r="AZ4" s="1115" t="s">
        <v>1294</v>
      </c>
      <c r="BB4" s="1115" t="s">
        <v>1295</v>
      </c>
      <c r="BC4" s="1115" t="s">
        <v>1296</v>
      </c>
      <c r="BE4" s="1115">
        <v>2002</v>
      </c>
      <c r="BF4" s="1115" t="s">
        <v>1297</v>
      </c>
      <c r="BH4" s="1063" t="s">
        <v>1298</v>
      </c>
      <c r="BJ4" s="1063" t="s">
        <v>1298</v>
      </c>
      <c r="BL4" s="1063" t="s">
        <v>1298</v>
      </c>
      <c r="BN4" s="1063" t="s">
        <v>1298</v>
      </c>
      <c r="BQ4" s="1449" t="s">
        <v>1299</v>
      </c>
      <c r="BR4" s="1154" t="s">
        <v>1300</v>
      </c>
      <c r="BS4" s="253"/>
      <c r="BT4" s="1449" t="s">
        <v>1301</v>
      </c>
      <c r="BU4" s="1154" t="s">
        <v>1302</v>
      </c>
      <c r="BV4" s="1065"/>
      <c r="BW4" s="1721" t="s">
        <v>1303</v>
      </c>
      <c r="BX4" s="1715" t="s">
        <v>1304</v>
      </c>
      <c r="BZ4" s="1449" t="s">
        <v>1305</v>
      </c>
      <c r="CA4" s="1154" t="s">
        <v>1306</v>
      </c>
    </row>
    <row customHeight="1" ht="11.25">
      <c r="A5" s="1069" t="s">
        <v>1307</v>
      </c>
      <c r="B5" s="1070">
        <v>2003</v>
      </c>
      <c r="C5" s="1070">
        <v>2025</v>
      </c>
      <c r="E5" s="1071" t="s">
        <v>1308</v>
      </c>
      <c r="F5" s="1071" t="s">
        <v>1309</v>
      </c>
      <c r="H5" s="1072" t="s">
        <v>1310</v>
      </c>
      <c r="I5" s="1071" t="s">
        <v>90</v>
      </c>
      <c r="K5" s="1073" t="s">
        <v>1311</v>
      </c>
      <c r="L5" s="1074">
        <f>_xlfn.IFERROR(MATCH(K5,OFFER_METHOD,0),0)</f>
        <v>0</v>
      </c>
      <c r="M5" s="1073">
        <v>4</v>
      </c>
      <c r="N5" s="1086" t="s">
        <v>1312</v>
      </c>
      <c r="O5" s="1071" t="s">
        <v>1313</v>
      </c>
      <c r="Q5" s="1076" t="s">
        <v>1314</v>
      </c>
      <c r="R5" s="123" t="s">
        <v>454</v>
      </c>
      <c r="T5" s="1072" t="s">
        <v>1315</v>
      </c>
      <c r="U5" s="1074" t="s">
        <v>1316</v>
      </c>
      <c r="V5" s="1078">
        <v>4</v>
      </c>
      <c r="W5" s="1079"/>
      <c r="X5" s="1079" t="s">
        <v>181</v>
      </c>
      <c r="Y5" s="1070" t="s">
        <v>1317</v>
      </c>
      <c r="Z5" s="1085">
        <v>1</v>
      </c>
      <c r="AF5" s="1072" t="s">
        <v>1318</v>
      </c>
      <c r="AH5" s="1071" t="s">
        <v>1319</v>
      </c>
      <c r="AK5" s="1071" t="s">
        <v>1320</v>
      </c>
      <c r="AM5" s="1071" t="s">
        <v>1321</v>
      </c>
      <c r="AP5" s="1082" t="s">
        <v>181</v>
      </c>
      <c r="AQ5" s="1083" t="s">
        <v>181</v>
      </c>
      <c r="AU5" s="1115" t="s">
        <v>1322</v>
      </c>
      <c r="AW5" s="1115" t="s">
        <v>1323</v>
      </c>
      <c r="AX5" s="1115" t="s">
        <v>1323</v>
      </c>
      <c r="AZ5" s="1115" t="s">
        <v>1324</v>
      </c>
      <c r="BB5" s="1115" t="s">
        <v>1325</v>
      </c>
      <c r="BC5" s="1115" t="s">
        <v>1326</v>
      </c>
      <c r="BE5" s="1115">
        <v>2003</v>
      </c>
      <c r="BF5" s="1115" t="s">
        <v>1327</v>
      </c>
      <c r="BH5" s="1063" t="s">
        <v>1328</v>
      </c>
      <c r="BJ5" s="1063" t="s">
        <v>1328</v>
      </c>
      <c r="BL5" s="1063" t="s">
        <v>1328</v>
      </c>
      <c r="BN5" s="1063" t="s">
        <v>1329</v>
      </c>
      <c r="BQ5" s="1298">
        <v>4213775</v>
      </c>
      <c r="BR5" s="1063" t="s">
        <v>1224</v>
      </c>
      <c r="BS5" s="1446"/>
      <c r="BT5" s="1298">
        <v>64236871</v>
      </c>
      <c r="BU5" s="1063" t="s">
        <v>234</v>
      </c>
      <c r="BV5" s="1065"/>
      <c r="BW5" s="1719">
        <v>4213767</v>
      </c>
      <c r="BX5" s="1717" t="s">
        <v>1330</v>
      </c>
      <c r="BZ5" s="1298">
        <v>64237509</v>
      </c>
      <c r="CA5" s="1312" t="s">
        <v>1331</v>
      </c>
    </row>
    <row customHeight="1" ht="11.25">
      <c r="A6" s="1069" t="s">
        <v>1332</v>
      </c>
      <c r="B6" s="1070">
        <v>2004</v>
      </c>
      <c r="C6" s="1070">
        <v>2026</v>
      </c>
      <c r="E6" s="1071" t="s">
        <v>1333</v>
      </c>
      <c r="F6" s="1087"/>
      <c r="H6" s="1072" t="s">
        <v>1334</v>
      </c>
      <c r="I6" s="1071" t="s">
        <v>110</v>
      </c>
      <c r="J6" s="1062" t="s">
        <v>1335</v>
      </c>
      <c r="L6" s="1074">
        <f>SUM(kind_of_control_method_filter)</f>
        <v>0</v>
      </c>
      <c r="N6" s="1086" t="s">
        <v>1336</v>
      </c>
      <c r="O6" s="1071" t="s">
        <v>1337</v>
      </c>
      <c r="R6" s="123" t="s">
        <v>453</v>
      </c>
      <c r="T6" s="1072" t="s">
        <v>1338</v>
      </c>
      <c r="U6" s="1074" t="s">
        <v>1318</v>
      </c>
      <c r="V6" s="1078">
        <v>5</v>
      </c>
      <c r="W6" s="1079"/>
      <c r="X6" s="1070" t="s">
        <v>189</v>
      </c>
      <c r="Y6" s="1070" t="s">
        <v>1339</v>
      </c>
      <c r="Z6" s="1085"/>
      <c r="AA6" s="1088"/>
      <c r="AH6" s="1071" t="s">
        <v>1340</v>
      </c>
      <c r="AK6" s="1071" t="s">
        <v>1341</v>
      </c>
      <c r="AM6" s="1071" t="s">
        <v>1342</v>
      </c>
      <c r="AP6" s="1082" t="s">
        <v>189</v>
      </c>
      <c r="AQ6" s="1083" t="s">
        <v>189</v>
      </c>
      <c r="AU6" s="1115" t="s">
        <v>1343</v>
      </c>
      <c r="AW6" s="1115" t="s">
        <v>1344</v>
      </c>
      <c r="AX6" s="1115" t="s">
        <v>1344</v>
      </c>
      <c r="BB6" s="1115" t="s">
        <v>1345</v>
      </c>
      <c r="BC6" s="1115" t="s">
        <v>1326</v>
      </c>
      <c r="BE6" s="1115">
        <v>2004</v>
      </c>
      <c r="BF6" s="1115" t="s">
        <v>1346</v>
      </c>
      <c r="BH6" s="1063" t="s">
        <v>1347</v>
      </c>
      <c r="BJ6" s="1063" t="s">
        <v>1348</v>
      </c>
      <c r="BL6" s="1063" t="s">
        <v>1348</v>
      </c>
      <c r="BN6" s="1063" t="s">
        <v>1349</v>
      </c>
      <c r="BQ6" s="1298">
        <v>4213784</v>
      </c>
      <c r="BR6" s="1312" t="s">
        <v>1258</v>
      </c>
      <c r="BS6" s="1447"/>
      <c r="BT6" s="1298">
        <v>64236872</v>
      </c>
      <c r="BU6" s="1063" t="s">
        <v>239</v>
      </c>
      <c r="BV6" s="1065"/>
      <c r="BW6" s="1719">
        <v>4213768</v>
      </c>
      <c r="BX6" s="1717" t="s">
        <v>259</v>
      </c>
      <c r="BZ6" s="1298">
        <v>64237510</v>
      </c>
      <c r="CA6" s="1063" t="s">
        <v>1350</v>
      </c>
    </row>
    <row customHeight="1" ht="11.25">
      <c r="A7" s="1069" t="s">
        <v>1351</v>
      </c>
      <c r="B7" s="1070">
        <v>2005</v>
      </c>
      <c r="E7" s="1071" t="s">
        <v>1352</v>
      </c>
      <c r="F7" s="1087"/>
      <c r="H7" s="1072" t="s">
        <v>1353</v>
      </c>
      <c r="I7" s="1071" t="s">
        <v>91</v>
      </c>
      <c r="J7" s="1071" t="s">
        <v>1354</v>
      </c>
      <c r="N7" s="1090" t="s">
        <v>1355</v>
      </c>
      <c r="O7" s="1071" t="s">
        <v>1356</v>
      </c>
      <c r="U7" s="1074" t="s">
        <v>56</v>
      </c>
      <c r="V7" s="362" t="s">
        <v>91</v>
      </c>
      <c r="W7" s="1079"/>
      <c r="X7" s="1070" t="s">
        <v>197</v>
      </c>
      <c r="Y7" s="1070" t="s">
        <v>1317</v>
      </c>
      <c r="Z7" s="1085"/>
      <c r="AA7" s="1088"/>
      <c r="AH7" s="1071" t="s">
        <v>1357</v>
      </c>
      <c r="AK7" s="1071" t="s">
        <v>1358</v>
      </c>
      <c r="AM7" s="1071" t="s">
        <v>1359</v>
      </c>
      <c r="AP7" s="1082" t="s">
        <v>197</v>
      </c>
      <c r="AQ7" s="1083" t="s">
        <v>197</v>
      </c>
      <c r="AU7" s="1115" t="s">
        <v>1360</v>
      </c>
      <c r="AW7" s="1115" t="s">
        <v>1361</v>
      </c>
      <c r="AX7" s="1115" t="s">
        <v>1361</v>
      </c>
      <c r="AZ7" s="1062" t="s">
        <v>1362</v>
      </c>
      <c r="BB7" s="1115" t="s">
        <v>1363</v>
      </c>
      <c r="BC7" s="1115" t="s">
        <v>1326</v>
      </c>
      <c r="BE7" s="1115">
        <v>2005</v>
      </c>
      <c r="BF7" s="1115" t="s">
        <v>1364</v>
      </c>
      <c r="BH7" s="1063" t="s">
        <v>1365</v>
      </c>
      <c r="BJ7" s="1063" t="s">
        <v>1347</v>
      </c>
      <c r="BL7" s="1063" t="s">
        <v>1347</v>
      </c>
      <c r="BN7" s="1063" t="s">
        <v>1366</v>
      </c>
      <c r="BQ7" s="1298">
        <v>4213781</v>
      </c>
      <c r="BR7" s="1063" t="s">
        <v>1251</v>
      </c>
      <c r="BS7" s="1446"/>
      <c r="BT7" s="1298">
        <v>64236873</v>
      </c>
      <c r="BU7" s="1063" t="s">
        <v>244</v>
      </c>
      <c r="BV7" s="1065"/>
      <c r="BW7" s="1719">
        <v>4213769</v>
      </c>
      <c r="BX7" s="1717" t="s">
        <v>1367</v>
      </c>
      <c r="BZ7" s="1298">
        <v>64237511</v>
      </c>
      <c r="CA7" s="1063" t="s">
        <v>274</v>
      </c>
    </row>
    <row customHeight="1" ht="11.25">
      <c r="A8" s="1069" t="s">
        <v>1368</v>
      </c>
      <c r="B8" s="1070">
        <v>2006</v>
      </c>
      <c r="E8" s="1071" t="s">
        <v>1369</v>
      </c>
      <c r="F8" s="1087"/>
      <c r="I8" s="1071" t="s">
        <v>92</v>
      </c>
      <c r="J8" s="1071" t="s">
        <v>1370</v>
      </c>
      <c r="N8" s="1158" t="s">
        <v>1371</v>
      </c>
      <c r="O8" s="1071" t="s">
        <v>1372</v>
      </c>
      <c r="V8" s="362" t="s">
        <v>92</v>
      </c>
      <c r="W8" s="1079"/>
      <c r="X8" s="1070" t="s">
        <v>203</v>
      </c>
      <c r="Y8" s="1070" t="s">
        <v>1317</v>
      </c>
      <c r="Z8" s="1085"/>
      <c r="AA8" s="1088"/>
      <c r="AK8" s="1071" t="s">
        <v>1373</v>
      </c>
      <c r="AP8" s="1082" t="s">
        <v>203</v>
      </c>
      <c r="AQ8" s="1083" t="s">
        <v>203</v>
      </c>
      <c r="AU8" s="1115" t="s">
        <v>1374</v>
      </c>
      <c r="AW8" s="1115" t="s">
        <v>1375</v>
      </c>
      <c r="AX8" s="1115" t="s">
        <v>1375</v>
      </c>
      <c r="AZ8" s="1115" t="s">
        <v>1376</v>
      </c>
      <c r="BB8" s="1115" t="s">
        <v>1377</v>
      </c>
      <c r="BC8" s="1115" t="s">
        <v>1326</v>
      </c>
      <c r="BE8" s="1115">
        <v>2006</v>
      </c>
      <c r="BF8" s="1115" t="s">
        <v>1378</v>
      </c>
      <c r="BH8" s="1063" t="s">
        <v>1379</v>
      </c>
      <c r="BJ8" s="1063" t="s">
        <v>1380</v>
      </c>
      <c r="BL8" s="1063" t="s">
        <v>1380</v>
      </c>
      <c r="BN8" s="1063" t="s">
        <v>1381</v>
      </c>
      <c r="BQ8" s="1298">
        <v>4213776</v>
      </c>
      <c r="BR8" s="1063" t="s">
        <v>181</v>
      </c>
      <c r="BS8" s="1446"/>
      <c r="BT8" s="1298">
        <v>64236874</v>
      </c>
      <c r="BU8" s="1312" t="s">
        <v>1382</v>
      </c>
      <c r="BV8" s="1065"/>
      <c r="BW8" s="1719">
        <v>4213770</v>
      </c>
      <c r="BX8" s="1720" t="s">
        <v>1383</v>
      </c>
      <c r="BZ8" s="1298">
        <v>64237512</v>
      </c>
      <c r="CA8" s="1063" t="s">
        <v>269</v>
      </c>
    </row>
    <row customHeight="1" ht="11.25">
      <c r="A9" s="1069" t="s">
        <v>1384</v>
      </c>
      <c r="B9" s="1070">
        <v>2007</v>
      </c>
      <c r="E9" s="1071" t="s">
        <v>1385</v>
      </c>
      <c r="F9" s="1087"/>
      <c r="G9" s="1062" t="s">
        <v>1386</v>
      </c>
      <c r="H9" s="1062" t="s">
        <v>1387</v>
      </c>
      <c r="I9" s="1071" t="s">
        <v>111</v>
      </c>
      <c r="O9" s="1071" t="s">
        <v>1388</v>
      </c>
      <c r="V9" s="362" t="s">
        <v>111</v>
      </c>
      <c r="W9" s="1079"/>
      <c r="X9" s="1070" t="s">
        <v>209</v>
      </c>
      <c r="Y9" s="1070" t="s">
        <v>1225</v>
      </c>
      <c r="Z9" s="1085">
        <v>1</v>
      </c>
      <c r="AA9" s="1088"/>
      <c r="AK9" s="1071" t="s">
        <v>1389</v>
      </c>
      <c r="AP9" s="1082" t="s">
        <v>1390</v>
      </c>
      <c r="AQ9" s="1083" t="s">
        <v>1390</v>
      </c>
      <c r="AW9" s="1115" t="s">
        <v>1391</v>
      </c>
      <c r="AX9" s="1115" t="s">
        <v>1391</v>
      </c>
      <c r="AZ9" s="1115" t="s">
        <v>1392</v>
      </c>
      <c r="BB9" s="1115" t="s">
        <v>1393</v>
      </c>
      <c r="BC9" s="1115" t="s">
        <v>1326</v>
      </c>
      <c r="BE9" s="1115">
        <v>2007</v>
      </c>
      <c r="BF9" s="1115" t="s">
        <v>1394</v>
      </c>
      <c r="BH9" s="1063" t="s">
        <v>1395</v>
      </c>
      <c r="BJ9" s="1063" t="s">
        <v>1396</v>
      </c>
      <c r="BL9" s="1063" t="s">
        <v>1396</v>
      </c>
      <c r="BN9" s="1063" t="s">
        <v>1397</v>
      </c>
      <c r="BQ9" s="1298">
        <v>4213777</v>
      </c>
      <c r="BR9" s="1063" t="s">
        <v>189</v>
      </c>
      <c r="BS9" s="1446"/>
      <c r="BT9" s="1298">
        <v>64236875</v>
      </c>
      <c r="BU9" s="1063" t="s">
        <v>249</v>
      </c>
      <c r="BV9" s="1065"/>
      <c r="BW9" s="0"/>
      <c r="BX9" s="0"/>
    </row>
    <row customHeight="1" ht="11.25">
      <c r="A10" s="1069" t="s">
        <v>1398</v>
      </c>
      <c r="B10" s="1070">
        <v>2008</v>
      </c>
      <c r="E10" s="1071" t="s">
        <v>1399</v>
      </c>
      <c r="F10" s="1087"/>
      <c r="G10" s="1071" t="s">
        <v>1400</v>
      </c>
      <c r="H10" s="1071" t="s">
        <v>1401</v>
      </c>
      <c r="I10" s="1071" t="s">
        <v>98</v>
      </c>
      <c r="J10" s="1062" t="s">
        <v>1402</v>
      </c>
      <c r="K10" s="1062" t="s">
        <v>1403</v>
      </c>
      <c r="O10" s="1071" t="s">
        <v>1404</v>
      </c>
      <c r="V10" s="363" t="s">
        <v>98</v>
      </c>
      <c r="W10" s="1091"/>
      <c r="X10" s="1091" t="s">
        <v>1405</v>
      </c>
      <c r="Y10" s="1092" t="s">
        <v>1406</v>
      </c>
      <c r="Z10" s="1085"/>
      <c r="AP10" s="1082" t="s">
        <v>1405</v>
      </c>
      <c r="AQ10" s="1083" t="s">
        <v>1405</v>
      </c>
      <c r="AW10" s="1115" t="s">
        <v>1407</v>
      </c>
      <c r="AX10" s="1115" t="s">
        <v>1407</v>
      </c>
      <c r="AZ10" s="1115" t="s">
        <v>1408</v>
      </c>
      <c r="BB10" s="1115" t="s">
        <v>1409</v>
      </c>
      <c r="BC10" s="1115" t="s">
        <v>1326</v>
      </c>
      <c r="BE10" s="1115">
        <v>2008</v>
      </c>
      <c r="BF10" s="1115" t="s">
        <v>1410</v>
      </c>
      <c r="BH10" s="1063" t="s">
        <v>1411</v>
      </c>
      <c r="BJ10" s="1063" t="s">
        <v>1412</v>
      </c>
      <c r="BL10" s="1063" t="s">
        <v>1412</v>
      </c>
      <c r="BN10" s="1063" t="s">
        <v>1413</v>
      </c>
      <c r="BQ10" s="1298">
        <v>4213778</v>
      </c>
      <c r="BR10" s="1063" t="s">
        <v>197</v>
      </c>
      <c r="BS10" s="1446"/>
      <c r="BT10" s="1298">
        <v>64236876</v>
      </c>
      <c r="BU10" s="1063" t="s">
        <v>229</v>
      </c>
      <c r="BV10" s="1065"/>
      <c r="BW10" s="0"/>
      <c r="BX10" s="0"/>
    </row>
    <row customHeight="1" ht="11.25">
      <c r="A11" s="1069" t="s">
        <v>1414</v>
      </c>
      <c r="B11" s="1070">
        <v>2009</v>
      </c>
      <c r="E11" s="1071" t="s">
        <v>1415</v>
      </c>
      <c r="F11" s="1087"/>
      <c r="G11" s="1071" t="s">
        <v>1416</v>
      </c>
      <c r="H11" s="1071" t="s">
        <v>1417</v>
      </c>
      <c r="I11" s="1071" t="s">
        <v>147</v>
      </c>
      <c r="J11" s="1072" t="s">
        <v>1418</v>
      </c>
      <c r="K11" s="1093" t="s">
        <v>1419</v>
      </c>
      <c r="O11" s="1072" t="s">
        <v>1420</v>
      </c>
      <c r="V11" s="362" t="s">
        <v>147</v>
      </c>
      <c r="W11" s="254"/>
      <c r="X11" s="1079" t="s">
        <v>1390</v>
      </c>
      <c r="Y11" s="1070" t="s">
        <v>1421</v>
      </c>
      <c r="Z11" s="1085"/>
      <c r="AP11" s="1082" t="s">
        <v>209</v>
      </c>
      <c r="AQ11" s="1084" t="s">
        <v>209</v>
      </c>
      <c r="AW11" s="1115" t="s">
        <v>1422</v>
      </c>
      <c r="AX11" s="1115" t="s">
        <v>1422</v>
      </c>
      <c r="AZ11" s="1115" t="s">
        <v>1423</v>
      </c>
      <c r="BB11" s="1115" t="s">
        <v>1424</v>
      </c>
      <c r="BC11" s="1115" t="s">
        <v>1326</v>
      </c>
      <c r="BE11" s="1115">
        <v>2009</v>
      </c>
      <c r="BF11" s="1115" t="s">
        <v>1425</v>
      </c>
      <c r="BH11" s="1063" t="s">
        <v>1426</v>
      </c>
      <c r="BJ11" s="1063" t="s">
        <v>1395</v>
      </c>
      <c r="BL11" s="1063" t="s">
        <v>1395</v>
      </c>
      <c r="BN11" s="1063" t="s">
        <v>1427</v>
      </c>
      <c r="BQ11" s="1298">
        <v>4213780</v>
      </c>
      <c r="BR11" s="1063" t="s">
        <v>203</v>
      </c>
      <c r="BS11" s="1446"/>
      <c r="BW11" s="0"/>
      <c r="BX11" s="0"/>
    </row>
    <row customHeight="1" ht="11.25">
      <c r="A12" s="1069" t="s">
        <v>1428</v>
      </c>
      <c r="B12" s="1070">
        <v>2010</v>
      </c>
      <c r="E12" s="1071" t="s">
        <v>1429</v>
      </c>
      <c r="F12" s="1087"/>
      <c r="G12" s="1071" t="s">
        <v>1417</v>
      </c>
      <c r="I12" s="1071" t="s">
        <v>148</v>
      </c>
      <c r="J12" s="1072" t="s">
        <v>1430</v>
      </c>
      <c r="K12" s="1093" t="s">
        <v>1431</v>
      </c>
      <c r="O12" s="1072" t="s">
        <v>453</v>
      </c>
      <c r="V12" s="362" t="s">
        <v>148</v>
      </c>
      <c r="W12" s="1084"/>
      <c r="X12" s="1079" t="s">
        <v>1432</v>
      </c>
      <c r="Y12" s="1070" t="s">
        <v>1225</v>
      </c>
      <c r="AP12" s="1082"/>
      <c r="AW12" s="1115" t="s">
        <v>147</v>
      </c>
      <c r="AX12" s="1115" t="s">
        <v>147</v>
      </c>
      <c r="AZ12" s="1115" t="s">
        <v>1433</v>
      </c>
      <c r="BB12" s="1115" t="s">
        <v>1434</v>
      </c>
      <c r="BC12" s="1115" t="s">
        <v>1326</v>
      </c>
      <c r="BE12" s="1115">
        <v>2010</v>
      </c>
      <c r="BF12" s="1115" t="s">
        <v>1435</v>
      </c>
      <c r="BH12" s="1063" t="s">
        <v>1436</v>
      </c>
      <c r="BJ12" s="1063" t="s">
        <v>1437</v>
      </c>
      <c r="BL12" s="1063" t="s">
        <v>1437</v>
      </c>
      <c r="BN12" s="1063" t="s">
        <v>1438</v>
      </c>
      <c r="BQ12" s="1298">
        <v>4213779</v>
      </c>
      <c r="BR12" s="1063" t="s">
        <v>1390</v>
      </c>
      <c r="BS12" s="1446"/>
      <c r="BT12" s="1065"/>
      <c r="BU12" s="1065"/>
      <c r="BV12" s="1065"/>
      <c r="BW12" s="0"/>
      <c r="BX12" s="0"/>
    </row>
    <row customHeight="1" ht="11.25">
      <c r="A13" s="1069" t="s">
        <v>1439</v>
      </c>
      <c r="B13" s="1070">
        <v>2011</v>
      </c>
      <c r="E13" s="1071" t="s">
        <v>1440</v>
      </c>
      <c r="F13" s="1087"/>
      <c r="I13" s="1071" t="s">
        <v>149</v>
      </c>
      <c r="K13" s="1093" t="s">
        <v>1389</v>
      </c>
      <c r="V13" s="362" t="s">
        <v>149</v>
      </c>
      <c r="W13" s="1084"/>
      <c r="X13" s="1084"/>
      <c r="Y13" s="1084"/>
      <c r="AW13" s="1115" t="s">
        <v>148</v>
      </c>
      <c r="AX13" s="1115" t="s">
        <v>148</v>
      </c>
      <c r="BB13" s="1115" t="s">
        <v>1441</v>
      </c>
      <c r="BC13" s="1115" t="s">
        <v>1442</v>
      </c>
      <c r="BE13" s="1115">
        <v>2011</v>
      </c>
      <c r="BF13" s="1115" t="s">
        <v>1443</v>
      </c>
      <c r="BH13" s="1063" t="s">
        <v>1444</v>
      </c>
      <c r="BJ13" s="1063" t="s">
        <v>1426</v>
      </c>
      <c r="BL13" s="1063" t="s">
        <v>1426</v>
      </c>
      <c r="BN13" s="1063" t="s">
        <v>1445</v>
      </c>
      <c r="BQ13" s="1298">
        <v>4213783</v>
      </c>
      <c r="BR13" s="1063" t="s">
        <v>1405</v>
      </c>
      <c r="BS13" s="1446"/>
      <c r="BT13" s="1065"/>
      <c r="BU13" s="1065"/>
      <c r="BV13" s="1065"/>
      <c r="BW13" s="1718"/>
      <c r="BX13" s="0"/>
    </row>
    <row customHeight="1" ht="11.25">
      <c r="A14" s="1069" t="s">
        <v>14</v>
      </c>
      <c r="B14" s="1070">
        <v>2012</v>
      </c>
      <c r="I14" s="1071" t="s">
        <v>150</v>
      </c>
      <c r="J14" s="1062" t="s">
        <v>1446</v>
      </c>
      <c r="N14" s="1062" t="s">
        <v>1447</v>
      </c>
      <c r="V14" s="1078">
        <v>13</v>
      </c>
      <c r="W14" s="1079"/>
      <c r="X14" s="1079" t="s">
        <v>1258</v>
      </c>
      <c r="Y14" s="1070" t="s">
        <v>1225</v>
      </c>
      <c r="AW14" s="1115" t="s">
        <v>149</v>
      </c>
      <c r="AX14" s="1115" t="s">
        <v>149</v>
      </c>
      <c r="AZ14" s="1062" t="s">
        <v>1448</v>
      </c>
      <c r="BB14" s="1115" t="s">
        <v>1449</v>
      </c>
      <c r="BC14" s="1115" t="s">
        <v>1442</v>
      </c>
      <c r="BE14" s="1115">
        <v>2012</v>
      </c>
      <c r="BH14" s="1063" t="s">
        <v>1366</v>
      </c>
      <c r="BJ14" s="1216" t="s">
        <v>1450</v>
      </c>
      <c r="BL14" s="1216" t="s">
        <v>1450</v>
      </c>
      <c r="BN14" s="1063" t="s">
        <v>1451</v>
      </c>
      <c r="BQ14" s="1298">
        <v>4213782</v>
      </c>
      <c r="BR14" s="1063" t="s">
        <v>209</v>
      </c>
      <c r="BS14" s="1446"/>
      <c r="BT14" s="1065"/>
      <c r="BU14" s="1065"/>
      <c r="BV14" s="1065"/>
      <c r="BW14" s="1718"/>
      <c r="BX14" s="0"/>
    </row>
    <row customHeight="1" ht="19.5">
      <c r="A15" s="1069" t="s">
        <v>1452</v>
      </c>
      <c r="B15" s="1070">
        <v>2013</v>
      </c>
      <c r="E15" s="1722" t="s">
        <v>1453</v>
      </c>
      <c r="G15" s="1062" t="s">
        <v>1454</v>
      </c>
      <c r="H15" s="1062" t="s">
        <v>1455</v>
      </c>
      <c r="I15" s="1073" t="s">
        <v>151</v>
      </c>
      <c r="J15" s="1084" t="s">
        <v>582</v>
      </c>
      <c r="N15" s="1153" t="s">
        <v>1456</v>
      </c>
      <c r="X15" s="1082"/>
      <c r="AW15" s="1115" t="s">
        <v>150</v>
      </c>
      <c r="AX15" s="1115" t="s">
        <v>150</v>
      </c>
      <c r="AZ15" s="1115" t="s">
        <v>1376</v>
      </c>
      <c r="BB15" s="1115" t="s">
        <v>1457</v>
      </c>
      <c r="BC15" s="1115" t="s">
        <v>1442</v>
      </c>
      <c r="BE15" s="1115">
        <v>2013</v>
      </c>
      <c r="BH15" s="1063" t="s">
        <v>1381</v>
      </c>
      <c r="BJ15" s="1216" t="s">
        <v>1458</v>
      </c>
      <c r="BL15" s="1216" t="s">
        <v>1458</v>
      </c>
      <c r="BN15" s="1063" t="s">
        <v>1459</v>
      </c>
      <c r="BR15" s="1065"/>
      <c r="BS15" s="1448"/>
      <c r="BT15" s="1065"/>
      <c r="BU15" s="1065"/>
      <c r="BV15" s="1065"/>
      <c r="BW15" s="1718"/>
      <c r="BX15" s="0"/>
    </row>
    <row customHeight="1" ht="21">
      <c r="A16" s="1895" t="s">
        <v>1460</v>
      </c>
      <c r="B16" s="1070">
        <v>2014</v>
      </c>
      <c r="E16" s="1723" t="s">
        <v>1461</v>
      </c>
      <c r="G16" s="1071" t="s">
        <v>1462</v>
      </c>
      <c r="H16" s="1071" t="s">
        <v>1463</v>
      </c>
      <c r="I16" s="1073" t="s">
        <v>1464</v>
      </c>
      <c r="J16" s="1084" t="s">
        <v>555</v>
      </c>
      <c r="N16" s="1153" t="s">
        <v>1465</v>
      </c>
      <c r="AW16" s="1115" t="s">
        <v>151</v>
      </c>
      <c r="AX16" s="1115" t="s">
        <v>151</v>
      </c>
      <c r="AZ16" s="1115" t="s">
        <v>1392</v>
      </c>
      <c r="BB16" s="1115" t="s">
        <v>1466</v>
      </c>
      <c r="BC16" s="1115" t="s">
        <v>1442</v>
      </c>
      <c r="BE16" s="1115">
        <v>2014</v>
      </c>
      <c r="BH16" s="1063" t="s">
        <v>1397</v>
      </c>
      <c r="BJ16" s="1216" t="s">
        <v>1467</v>
      </c>
      <c r="BL16" s="1216" t="s">
        <v>1467</v>
      </c>
      <c r="BN16" s="1063" t="s">
        <v>1468</v>
      </c>
      <c r="BR16" s="1065"/>
      <c r="BS16" s="1448"/>
      <c r="BT16" s="1065"/>
      <c r="BU16" s="1065"/>
      <c r="BV16" s="1065"/>
      <c r="BW16" s="1718"/>
      <c r="BX16" s="0"/>
    </row>
    <row customHeight="1" ht="21">
      <c r="A17" s="1069" t="s">
        <v>1469</v>
      </c>
      <c r="B17" s="1070">
        <v>2015</v>
      </c>
      <c r="G17" s="1071" t="s">
        <v>1417</v>
      </c>
      <c r="H17" s="1071" t="s">
        <v>1417</v>
      </c>
      <c r="I17" s="1071" t="s">
        <v>1470</v>
      </c>
      <c r="N17" s="1153" t="s">
        <v>1471</v>
      </c>
      <c r="X17" s="1082"/>
      <c r="AW17" s="1115" t="s">
        <v>1464</v>
      </c>
      <c r="AX17" s="1115" t="s">
        <v>1464</v>
      </c>
      <c r="AZ17" s="1115" t="s">
        <v>1472</v>
      </c>
      <c r="BB17" s="1115" t="s">
        <v>1473</v>
      </c>
      <c r="BC17" s="1115" t="s">
        <v>1326</v>
      </c>
      <c r="BE17" s="1115">
        <v>2015</v>
      </c>
      <c r="BH17" s="1063" t="s">
        <v>1413</v>
      </c>
      <c r="BJ17" s="1216" t="s">
        <v>1474</v>
      </c>
      <c r="BL17" s="1216" t="s">
        <v>1474</v>
      </c>
      <c r="BN17" s="1063" t="s">
        <v>1475</v>
      </c>
      <c r="BR17" s="1062" t="s">
        <v>1269</v>
      </c>
      <c r="BS17" s="1445"/>
      <c r="BU17" s="1062" t="s">
        <v>1476</v>
      </c>
      <c r="BV17" s="1065"/>
      <c r="BW17" s="0"/>
      <c r="BX17" s="1716" t="s">
        <v>1477</v>
      </c>
      <c r="CA17" s="1062" t="s">
        <v>1478</v>
      </c>
      <c r="CD17" s="1062" t="s">
        <v>1479</v>
      </c>
    </row>
    <row customHeight="1" ht="21">
      <c r="A18" s="1069" t="s">
        <v>1480</v>
      </c>
      <c r="B18" s="1070">
        <v>2016</v>
      </c>
      <c r="I18" s="1071" t="s">
        <v>1481</v>
      </c>
      <c r="N18" s="1153" t="s">
        <v>1482</v>
      </c>
      <c r="X18" s="1082"/>
      <c r="AW18" s="1115" t="s">
        <v>1470</v>
      </c>
      <c r="AX18" s="1115" t="s">
        <v>1470</v>
      </c>
      <c r="BB18" s="1115" t="s">
        <v>1483</v>
      </c>
      <c r="BC18" s="1115" t="s">
        <v>1326</v>
      </c>
      <c r="BE18" s="1115">
        <v>2016</v>
      </c>
      <c r="BH18" s="1063" t="s">
        <v>1427</v>
      </c>
      <c r="BJ18" s="1216" t="s">
        <v>1484</v>
      </c>
      <c r="BL18" s="1216" t="s">
        <v>1484</v>
      </c>
      <c r="BN18" s="1063" t="s">
        <v>1485</v>
      </c>
      <c r="BQ18" s="1449" t="s">
        <v>1299</v>
      </c>
      <c r="BR18" s="1154" t="s">
        <v>1300</v>
      </c>
      <c r="BS18" s="253"/>
      <c r="BT18" s="1449" t="s">
        <v>1486</v>
      </c>
      <c r="BU18" s="1154" t="s">
        <v>1487</v>
      </c>
      <c r="BV18" s="1065"/>
      <c r="BW18" s="1721" t="s">
        <v>1488</v>
      </c>
      <c r="BX18" s="1715" t="s">
        <v>1489</v>
      </c>
      <c r="BZ18" s="1449" t="s">
        <v>1490</v>
      </c>
      <c r="CA18" s="1154" t="s">
        <v>1491</v>
      </c>
      <c r="CC18" s="1449" t="s">
        <v>1492</v>
      </c>
      <c r="CD18" s="1154" t="s">
        <v>1493</v>
      </c>
    </row>
    <row customHeight="1" ht="21">
      <c r="A19" s="1895" t="s">
        <v>1494</v>
      </c>
      <c r="B19" s="1070">
        <v>2017</v>
      </c>
      <c r="I19" s="1071" t="s">
        <v>1495</v>
      </c>
      <c r="N19" s="1153" t="s">
        <v>1496</v>
      </c>
      <c r="X19" s="1082"/>
      <c r="AW19" s="1115" t="s">
        <v>1481</v>
      </c>
      <c r="AX19" s="1115" t="s">
        <v>1481</v>
      </c>
      <c r="AZ19" s="1062" t="s">
        <v>1497</v>
      </c>
      <c r="BB19" s="1115" t="s">
        <v>1498</v>
      </c>
      <c r="BC19" s="1115" t="s">
        <v>1326</v>
      </c>
      <c r="BE19" s="1115">
        <v>2017</v>
      </c>
      <c r="BH19" s="1063" t="s">
        <v>1499</v>
      </c>
      <c r="BJ19" s="1216" t="s">
        <v>1500</v>
      </c>
      <c r="BL19" s="1216" t="s">
        <v>1500</v>
      </c>
      <c r="BQ19" s="1298">
        <v>4190064</v>
      </c>
      <c r="BR19" s="1063" t="s">
        <v>1501</v>
      </c>
      <c r="BS19" s="1446"/>
      <c r="BT19" s="1298">
        <v>4189671</v>
      </c>
      <c r="BU19" s="1063" t="s">
        <v>1502</v>
      </c>
      <c r="BV19" s="1065"/>
      <c r="BW19" s="1719">
        <v>4189706</v>
      </c>
      <c r="BX19" s="1717" t="s">
        <v>1503</v>
      </c>
      <c r="BZ19" s="1298">
        <v>4189714</v>
      </c>
      <c r="CA19" s="1063" t="s">
        <v>1504</v>
      </c>
      <c r="CC19" s="1298">
        <v>4189708</v>
      </c>
      <c r="CD19" s="1063" t="s">
        <v>1505</v>
      </c>
    </row>
    <row customHeight="1" ht="21">
      <c r="A20" s="1069" t="s">
        <v>1506</v>
      </c>
      <c r="B20" s="1070">
        <v>2018</v>
      </c>
      <c r="I20" s="1071" t="s">
        <v>1507</v>
      </c>
      <c r="N20" s="1153" t="s">
        <v>1508</v>
      </c>
      <c r="AW20" s="1115" t="s">
        <v>1495</v>
      </c>
      <c r="AX20" s="1115" t="s">
        <v>1495</v>
      </c>
      <c r="AZ20" s="1115" t="s">
        <v>1509</v>
      </c>
      <c r="BB20" s="1115" t="s">
        <v>1510</v>
      </c>
      <c r="BC20" s="1115" t="s">
        <v>1442</v>
      </c>
      <c r="BE20" s="1115">
        <v>2018</v>
      </c>
      <c r="BH20" s="1063" t="s">
        <v>1438</v>
      </c>
      <c r="BJ20" s="1063" t="s">
        <v>1366</v>
      </c>
      <c r="BL20" s="1063" t="s">
        <v>1366</v>
      </c>
      <c r="BQ20" s="1298">
        <v>4190065</v>
      </c>
      <c r="BR20" s="1063" t="s">
        <v>1511</v>
      </c>
      <c r="BS20" s="1446"/>
      <c r="BT20" s="1298">
        <v>4189672</v>
      </c>
      <c r="BU20" s="1063" t="s">
        <v>1512</v>
      </c>
      <c r="BV20" s="1065"/>
      <c r="BW20" s="1719">
        <v>4189705</v>
      </c>
      <c r="BX20" s="1717" t="s">
        <v>1513</v>
      </c>
      <c r="BZ20" s="1298">
        <v>4189713</v>
      </c>
      <c r="CA20" s="1063" t="s">
        <v>1513</v>
      </c>
      <c r="CC20" s="1298">
        <v>4189709</v>
      </c>
      <c r="CD20" s="1063" t="s">
        <v>1514</v>
      </c>
    </row>
    <row customHeight="1" ht="21">
      <c r="A21" s="1069" t="s">
        <v>1515</v>
      </c>
      <c r="B21" s="1070">
        <v>2019</v>
      </c>
      <c r="I21" s="1071" t="s">
        <v>1516</v>
      </c>
      <c r="N21" s="1153" t="s">
        <v>1517</v>
      </c>
      <c r="AW21" s="1115" t="s">
        <v>1507</v>
      </c>
      <c r="AX21" s="1115" t="s">
        <v>1507</v>
      </c>
      <c r="AZ21" s="1115" t="s">
        <v>1518</v>
      </c>
      <c r="BB21" s="1115" t="s">
        <v>1519</v>
      </c>
      <c r="BC21" s="1115" t="s">
        <v>1326</v>
      </c>
      <c r="BE21" s="1115">
        <v>2019</v>
      </c>
      <c r="BH21" s="1063" t="s">
        <v>1445</v>
      </c>
      <c r="BJ21" s="1063" t="s">
        <v>1381</v>
      </c>
      <c r="BL21" s="1063" t="s">
        <v>1381</v>
      </c>
      <c r="BQ21" s="1298">
        <v>4190066</v>
      </c>
      <c r="BR21" s="1063" t="s">
        <v>1520</v>
      </c>
      <c r="BS21" s="1446"/>
      <c r="BT21" s="1298">
        <v>4189673</v>
      </c>
      <c r="BU21" s="1063" t="s">
        <v>1521</v>
      </c>
      <c r="BV21" s="1065"/>
      <c r="BW21" s="1719">
        <v>4189707</v>
      </c>
      <c r="BX21" s="1717" t="s">
        <v>1522</v>
      </c>
      <c r="BZ21" s="1298">
        <v>4189712</v>
      </c>
      <c r="CA21" s="1063" t="s">
        <v>1523</v>
      </c>
      <c r="CC21" s="1298">
        <v>4189710</v>
      </c>
      <c r="CD21" s="1063" t="s">
        <v>1524</v>
      </c>
    </row>
    <row customHeight="1" ht="21">
      <c r="A22" s="1069" t="s">
        <v>1525</v>
      </c>
      <c r="B22" s="1070">
        <v>2020</v>
      </c>
      <c r="N22" s="1153" t="s">
        <v>1526</v>
      </c>
      <c r="AW22" s="1115" t="s">
        <v>1516</v>
      </c>
      <c r="AX22" s="1115" t="s">
        <v>1516</v>
      </c>
      <c r="AZ22" s="1115" t="s">
        <v>1527</v>
      </c>
      <c r="BB22" s="1115" t="s">
        <v>1528</v>
      </c>
      <c r="BC22" s="1115" t="s">
        <v>1326</v>
      </c>
      <c r="BE22" s="1115">
        <v>2020</v>
      </c>
      <c r="BH22" s="1063" t="s">
        <v>1451</v>
      </c>
      <c r="BJ22" s="1063" t="s">
        <v>1397</v>
      </c>
      <c r="BL22" s="1063" t="s">
        <v>1397</v>
      </c>
      <c r="BQ22" s="1298">
        <v>4190067</v>
      </c>
      <c r="BR22" s="1063" t="s">
        <v>1529</v>
      </c>
      <c r="BS22" s="1446"/>
      <c r="BT22" s="1298">
        <v>4189674</v>
      </c>
      <c r="BU22" s="1063" t="s">
        <v>1530</v>
      </c>
      <c r="BV22" s="1065"/>
      <c r="BW22" s="1065"/>
      <c r="CC22" s="1298">
        <v>4189711</v>
      </c>
      <c r="CD22" s="1063" t="s">
        <v>298</v>
      </c>
    </row>
    <row customHeight="1" ht="21">
      <c r="A23" s="1069" t="s">
        <v>1531</v>
      </c>
      <c r="B23" s="1070">
        <v>2021</v>
      </c>
      <c r="AW23" s="1115" t="s">
        <v>1532</v>
      </c>
      <c r="AX23" s="1115" t="s">
        <v>1532</v>
      </c>
      <c r="AZ23" s="1115" t="s">
        <v>1533</v>
      </c>
      <c r="BB23" s="1115" t="s">
        <v>1534</v>
      </c>
      <c r="BC23" s="1115" t="s">
        <v>1235</v>
      </c>
      <c r="BE23" s="1115">
        <v>2021</v>
      </c>
      <c r="BH23" s="1063" t="s">
        <v>1459</v>
      </c>
      <c r="BJ23" s="1063" t="s">
        <v>1413</v>
      </c>
      <c r="BL23" s="1063" t="s">
        <v>1413</v>
      </c>
      <c r="BQ23" s="1298">
        <v>4190068</v>
      </c>
      <c r="BR23" s="1063" t="s">
        <v>1535</v>
      </c>
      <c r="BS23" s="1446"/>
      <c r="BT23" s="1298">
        <v>4189675</v>
      </c>
      <c r="BU23" s="1063" t="s">
        <v>1536</v>
      </c>
      <c r="BV23" s="1065"/>
      <c r="BW23" s="1065"/>
      <c r="CC23" s="1298">
        <v>5110778</v>
      </c>
      <c r="CD23" s="1063" t="s">
        <v>1537</v>
      </c>
    </row>
    <row customHeight="1" ht="21">
      <c r="A24" s="1069" t="s">
        <v>1538</v>
      </c>
      <c r="B24" s="1070">
        <v>2022</v>
      </c>
      <c r="AW24" s="1115" t="s">
        <v>1539</v>
      </c>
      <c r="AX24" s="1115" t="s">
        <v>1539</v>
      </c>
      <c r="AZ24" s="1115" t="s">
        <v>1540</v>
      </c>
      <c r="BB24" s="1115" t="s">
        <v>1541</v>
      </c>
      <c r="BC24" s="1115" t="s">
        <v>1542</v>
      </c>
      <c r="BE24" s="1115">
        <v>2022</v>
      </c>
      <c r="BH24" s="1063" t="s">
        <v>1468</v>
      </c>
      <c r="BJ24" s="1063" t="s">
        <v>1427</v>
      </c>
      <c r="BL24" s="1063" t="s">
        <v>1427</v>
      </c>
      <c r="BQ24" s="1298">
        <v>4190069</v>
      </c>
      <c r="BR24" s="1063" t="s">
        <v>1543</v>
      </c>
      <c r="BS24" s="1446"/>
      <c r="BT24" s="1298">
        <v>4189676</v>
      </c>
      <c r="BU24" s="1063" t="s">
        <v>1544</v>
      </c>
      <c r="BV24" s="1065"/>
      <c r="BW24" s="1065"/>
      <c r="CC24" s="1298">
        <v>25575374</v>
      </c>
      <c r="CD24" s="1063" t="s">
        <v>1545</v>
      </c>
    </row>
    <row customHeight="1" ht="11.25">
      <c r="A25" s="1069" t="s">
        <v>1546</v>
      </c>
      <c r="B25" s="1070">
        <v>2023</v>
      </c>
      <c r="AW25" s="1115" t="s">
        <v>1547</v>
      </c>
      <c r="AX25" s="1115" t="s">
        <v>1547</v>
      </c>
      <c r="AZ25" s="1115" t="s">
        <v>1548</v>
      </c>
      <c r="BB25" s="1115" t="s">
        <v>1549</v>
      </c>
      <c r="BC25" s="1115" t="s">
        <v>1542</v>
      </c>
      <c r="BE25" s="1115">
        <v>2023</v>
      </c>
      <c r="BH25" s="1063" t="s">
        <v>1475</v>
      </c>
      <c r="BJ25" s="1063" t="s">
        <v>1499</v>
      </c>
      <c r="BL25" s="1063" t="s">
        <v>1499</v>
      </c>
      <c r="BQ25" s="1298">
        <v>4190070</v>
      </c>
      <c r="BR25" s="1063" t="s">
        <v>1550</v>
      </c>
      <c r="BS25" s="1446"/>
      <c r="BT25" s="1298">
        <v>4189677</v>
      </c>
      <c r="BU25" s="1063" t="s">
        <v>1551</v>
      </c>
      <c r="BV25" s="1065"/>
      <c r="BW25" s="1065"/>
    </row>
    <row customHeight="1" ht="11.25">
      <c r="A26" s="1069" t="s">
        <v>1552</v>
      </c>
      <c r="B26" s="1070">
        <v>2024</v>
      </c>
      <c r="J26" s="1755" t="s">
        <v>1553</v>
      </c>
      <c r="AX26" s="1115" t="s">
        <v>1554</v>
      </c>
      <c r="AZ26" s="1115" t="s">
        <v>1420</v>
      </c>
      <c r="BB26" s="1115" t="s">
        <v>1555</v>
      </c>
      <c r="BC26" s="1115" t="s">
        <v>1542</v>
      </c>
      <c r="BE26" s="1115">
        <v>2024</v>
      </c>
      <c r="BH26" s="1063" t="s">
        <v>1485</v>
      </c>
      <c r="BJ26" s="1063" t="s">
        <v>1438</v>
      </c>
      <c r="BL26" s="1063" t="s">
        <v>1438</v>
      </c>
      <c r="BQ26" s="1298">
        <v>4190071</v>
      </c>
      <c r="BR26" s="1063" t="s">
        <v>1556</v>
      </c>
      <c r="BS26" s="1446"/>
      <c r="BV26" s="1065"/>
      <c r="BW26" s="1065"/>
    </row>
    <row customHeight="1" ht="11.25">
      <c r="A27" s="1069" t="s">
        <v>1557</v>
      </c>
      <c r="B27" s="1070">
        <v>2025</v>
      </c>
      <c r="J27" s="156" t="s">
        <v>169</v>
      </c>
      <c r="AX27" s="1115" t="s">
        <v>1558</v>
      </c>
      <c r="BB27" s="1115" t="s">
        <v>1559</v>
      </c>
      <c r="BC27" s="1115" t="s">
        <v>1542</v>
      </c>
      <c r="BE27" s="1115">
        <v>2025</v>
      </c>
      <c r="BH27" s="1065" t="s">
        <v>24</v>
      </c>
      <c r="BJ27" s="1063" t="s">
        <v>1445</v>
      </c>
      <c r="BL27" s="1063" t="s">
        <v>1445</v>
      </c>
      <c r="BN27" s="1065" t="s">
        <v>24</v>
      </c>
      <c r="BQ27" s="1298">
        <v>4190072</v>
      </c>
      <c r="BR27" s="1063" t="s">
        <v>1560</v>
      </c>
      <c r="BS27" s="1446"/>
      <c r="BV27" s="1065"/>
      <c r="BW27" s="1065"/>
    </row>
    <row customHeight="1" ht="11.25">
      <c r="A28" s="1069" t="s">
        <v>1561</v>
      </c>
      <c r="D28" s="1095"/>
      <c r="E28" s="1096"/>
      <c r="F28" s="1096"/>
      <c r="H28" s="1097" t="s">
        <v>1562</v>
      </c>
      <c r="AX28" s="1115" t="s">
        <v>1563</v>
      </c>
      <c r="AZ28" s="1062" t="s">
        <v>1564</v>
      </c>
      <c r="BB28" s="1115" t="s">
        <v>1565</v>
      </c>
      <c r="BC28" s="1115" t="s">
        <v>1566</v>
      </c>
      <c r="BE28" s="1115">
        <v>2026</v>
      </c>
      <c r="BH28" s="1065" t="s">
        <v>24</v>
      </c>
      <c r="BJ28" s="1063" t="s">
        <v>1451</v>
      </c>
      <c r="BL28" s="1063" t="s">
        <v>1451</v>
      </c>
      <c r="BN28" s="1065" t="s">
        <v>24</v>
      </c>
      <c r="BQ28" s="1298">
        <v>4190073</v>
      </c>
      <c r="BR28" s="1063" t="s">
        <v>1567</v>
      </c>
      <c r="BS28" s="1446"/>
      <c r="BV28" s="1065"/>
      <c r="BW28" s="1065"/>
    </row>
    <row customHeight="1" ht="11.25">
      <c r="A29" s="1069" t="s">
        <v>1568</v>
      </c>
      <c r="D29" s="1098" t="s">
        <v>1569</v>
      </c>
      <c r="E29" s="1099" t="str">
        <f>IF(TEMPLATE_GROUP="","",INDEX(StartDateList,MATCH(TEMPLATE_GROUP,CodeTemplateList,0),1))</f>
        <v>45292.58189814815</v>
      </c>
      <c r="F29" s="1099" t="str">
        <f>IF(TEMPLATE_GROUP="","",INDEX(EndDateList,MATCH(TEMPLATE_GROUP,CodeTemplateList,0),1))</f>
        <v>47118.58194444444</v>
      </c>
      <c r="H29" s="1100" t="s">
        <v>1570</v>
      </c>
      <c r="AX29" s="1115" t="s">
        <v>1571</v>
      </c>
      <c r="AZ29" s="1115" t="s">
        <v>1220</v>
      </c>
      <c r="BB29" s="1115" t="s">
        <v>1420</v>
      </c>
      <c r="BC29" s="1085"/>
      <c r="BE29" s="1115">
        <v>2027</v>
      </c>
      <c r="BJ29" s="1063" t="s">
        <v>1459</v>
      </c>
      <c r="BL29" s="1063" t="s">
        <v>1459</v>
      </c>
    </row>
    <row customHeight="1" ht="11.25">
      <c r="A30" s="1069" t="s">
        <v>1572</v>
      </c>
      <c r="D30" s="1101"/>
      <c r="E30" s="1102"/>
      <c r="F30" s="1102"/>
      <c r="AX30" s="1115" t="s">
        <v>1573</v>
      </c>
      <c r="AZ30" s="1115" t="s">
        <v>1247</v>
      </c>
      <c r="BE30" s="1115">
        <v>2028</v>
      </c>
      <c r="BJ30" s="1063" t="s">
        <v>1574</v>
      </c>
      <c r="BL30" s="1063" t="s">
        <v>1574</v>
      </c>
    </row>
    <row customHeight="1" ht="12.75">
      <c r="A31" s="1069" t="s">
        <v>1575</v>
      </c>
      <c r="D31" s="1095"/>
      <c r="E31" s="1096"/>
      <c r="F31" s="1096"/>
      <c r="H31" s="1103"/>
      <c r="AX31" s="1115" t="s">
        <v>1576</v>
      </c>
      <c r="AZ31" s="1115" t="s">
        <v>456</v>
      </c>
      <c r="BE31" s="1115">
        <v>2029</v>
      </c>
      <c r="BJ31" s="1063" t="s">
        <v>1577</v>
      </c>
      <c r="BL31" s="1063" t="s">
        <v>1577</v>
      </c>
    </row>
    <row customHeight="1" ht="11.25">
      <c r="A32" s="1069" t="s">
        <v>1578</v>
      </c>
      <c r="D32" s="1098" t="s">
        <v>1579</v>
      </c>
      <c r="E32" s="1099" t="str">
        <f>IF(TEMPLATE_GROUP="","",INDEX(StartDateList,MATCH(TEMPLATE_GROUP,CodeTemplateList,0),1))</f>
        <v>45292.58189814815</v>
      </c>
      <c r="F32" s="1099" t="str">
        <f>IF(TEMPLATE_GROUP="","",INDEX(EndDateList,MATCH(TEMPLATE_GROUP,CodeTemplateList,0),1))</f>
        <v>47118.58194444444</v>
      </c>
      <c r="H32" s="1104" t="s">
        <v>1580</v>
      </c>
      <c r="O32" s="1069" t="s">
        <v>455</v>
      </c>
      <c r="AX32" s="1115" t="s">
        <v>1581</v>
      </c>
      <c r="AZ32" s="1115" t="s">
        <v>454</v>
      </c>
      <c r="BE32" s="1115">
        <v>2030</v>
      </c>
      <c r="BJ32" s="1063" t="s">
        <v>1468</v>
      </c>
      <c r="BL32" s="1063" t="s">
        <v>1468</v>
      </c>
    </row>
    <row customHeight="1" ht="11.25">
      <c r="A33" s="1069" t="s">
        <v>1582</v>
      </c>
      <c r="O33" s="1069" t="s">
        <v>1244</v>
      </c>
      <c r="AX33" s="1115" t="s">
        <v>1583</v>
      </c>
      <c r="AZ33" s="1115" t="s">
        <v>453</v>
      </c>
      <c r="BE33" s="1115">
        <v>2031</v>
      </c>
      <c r="BJ33" s="1063" t="s">
        <v>1475</v>
      </c>
      <c r="BL33" s="1063" t="s">
        <v>1475</v>
      </c>
    </row>
    <row customHeight="1" ht="11.25">
      <c r="A34" s="1069" t="s">
        <v>1584</v>
      </c>
      <c r="O34" s="1069" t="s">
        <v>1280</v>
      </c>
      <c r="AX34" s="1115" t="s">
        <v>1585</v>
      </c>
      <c r="BE34" s="1115">
        <v>2032</v>
      </c>
      <c r="BJ34" s="1063" t="s">
        <v>1485</v>
      </c>
      <c r="BL34" s="1063" t="s">
        <v>1485</v>
      </c>
    </row>
    <row customHeight="1" ht="11.25">
      <c r="A35" s="1069" t="s">
        <v>1586</v>
      </c>
      <c r="O35" s="1069" t="s">
        <v>1313</v>
      </c>
      <c r="AX35" s="1115" t="s">
        <v>1587</v>
      </c>
      <c r="AZ35" s="1062" t="s">
        <v>1588</v>
      </c>
      <c r="BE35" s="1115">
        <v>2033</v>
      </c>
      <c r="BL35" s="1063" t="s">
        <v>1589</v>
      </c>
    </row>
    <row customHeight="1" ht="11.25">
      <c r="A36" s="1895" t="s">
        <v>1590</v>
      </c>
      <c r="D36" s="1105" t="s">
        <v>1591</v>
      </c>
      <c r="E36" s="1106" t="s">
        <v>721</v>
      </c>
      <c r="F36" s="1107" t="str">
        <f>INDEX(E37:E41,MATCH(TEMPLATE_SPHERE,F37:F41,0))</f>
        <v>теплоснабжения</v>
      </c>
      <c r="G36" s="1107" t="str">
        <f>INDEX(G37:G41,MATCH(TEMPLATE_SPHERE,F37:F41,0))</f>
        <v>теплоснабжение</v>
      </c>
      <c r="O36" s="1069" t="s">
        <v>1337</v>
      </c>
      <c r="AX36" s="1115" t="s">
        <v>1592</v>
      </c>
      <c r="AZ36" s="1115" t="s">
        <v>453</v>
      </c>
      <c r="BE36" s="1115">
        <v>2034</v>
      </c>
      <c r="BL36" s="1063" t="s">
        <v>1593</v>
      </c>
    </row>
    <row customHeight="1" ht="11.25">
      <c r="A37" s="1069" t="s">
        <v>1594</v>
      </c>
      <c r="E37" s="404" t="s">
        <v>1595</v>
      </c>
      <c r="F37" s="1108" t="s">
        <v>721</v>
      </c>
      <c r="G37" s="404" t="s">
        <v>1596</v>
      </c>
      <c r="O37" s="1069" t="s">
        <v>1356</v>
      </c>
      <c r="AX37" s="1115" t="s">
        <v>1597</v>
      </c>
      <c r="AZ37" s="1115" t="s">
        <v>1246</v>
      </c>
      <c r="BE37" s="1115">
        <v>2035</v>
      </c>
    </row>
    <row customHeight="1" ht="11.25">
      <c r="A38" s="1069" t="s">
        <v>1598</v>
      </c>
      <c r="E38" s="404" t="s">
        <v>1599</v>
      </c>
      <c r="F38" s="1109" t="s">
        <v>767</v>
      </c>
      <c r="G38" s="404" t="s">
        <v>1600</v>
      </c>
      <c r="O38" s="1069" t="s">
        <v>1372</v>
      </c>
      <c r="AX38" s="1115" t="s">
        <v>1601</v>
      </c>
      <c r="AZ38" s="1115" t="s">
        <v>1281</v>
      </c>
      <c r="BE38" s="1115">
        <v>2036</v>
      </c>
      <c r="BH38" s="1062" t="s">
        <v>1602</v>
      </c>
      <c r="BJ38" s="1062" t="s">
        <v>1603</v>
      </c>
      <c r="BL38" s="1062" t="s">
        <v>1604</v>
      </c>
      <c r="BN38" s="1062" t="s">
        <v>1605</v>
      </c>
    </row>
    <row customHeight="1" ht="11.25">
      <c r="A39" s="1069" t="s">
        <v>1606</v>
      </c>
      <c r="E39" s="404" t="s">
        <v>1607</v>
      </c>
      <c r="F39" s="1109" t="s">
        <v>819</v>
      </c>
      <c r="G39" s="404" t="s">
        <v>1608</v>
      </c>
      <c r="O39" s="1069" t="s">
        <v>1388</v>
      </c>
      <c r="AX39" s="1115" t="s">
        <v>1609</v>
      </c>
      <c r="AZ39" s="1115" t="s">
        <v>1314</v>
      </c>
      <c r="BE39" s="1115">
        <v>2037</v>
      </c>
      <c r="BH39" s="1063" t="s">
        <v>1610</v>
      </c>
      <c r="BJ39" s="1216" t="s">
        <v>1610</v>
      </c>
      <c r="BL39" s="1216" t="s">
        <v>1610</v>
      </c>
      <c r="BN39" s="1063" t="s">
        <v>1611</v>
      </c>
    </row>
    <row customHeight="1" ht="11.25">
      <c r="A40" s="1069" t="s">
        <v>1612</v>
      </c>
      <c r="E40" s="404" t="s">
        <v>1613</v>
      </c>
      <c r="F40" s="1109" t="s">
        <v>805</v>
      </c>
      <c r="G40" s="404" t="s">
        <v>1614</v>
      </c>
      <c r="O40" s="1069" t="s">
        <v>1404</v>
      </c>
      <c r="AX40" s="1115" t="s">
        <v>1615</v>
      </c>
      <c r="BE40" s="1115">
        <v>2038</v>
      </c>
      <c r="BH40" s="1063" t="s">
        <v>1616</v>
      </c>
      <c r="BJ40" s="1216" t="s">
        <v>940</v>
      </c>
      <c r="BL40" s="1216" t="s">
        <v>940</v>
      </c>
      <c r="BN40" s="1063" t="s">
        <v>974</v>
      </c>
    </row>
    <row customHeight="1" ht="11.25">
      <c r="A41" s="1069" t="s">
        <v>1617</v>
      </c>
      <c r="E41" s="404" t="s">
        <v>1618</v>
      </c>
      <c r="F41" s="1109" t="s">
        <v>1619</v>
      </c>
      <c r="G41" s="404" t="s">
        <v>1618</v>
      </c>
      <c r="O41" s="1069" t="s">
        <v>1420</v>
      </c>
      <c r="AX41" s="1115" t="s">
        <v>1620</v>
      </c>
      <c r="AZ41" s="1062" t="s">
        <v>1621</v>
      </c>
      <c r="BE41" s="1115">
        <v>2039</v>
      </c>
      <c r="BH41" s="1063" t="s">
        <v>1622</v>
      </c>
      <c r="BJ41" s="1216" t="s">
        <v>936</v>
      </c>
      <c r="BL41" s="1216" t="s">
        <v>936</v>
      </c>
      <c r="BN41" s="1063" t="s">
        <v>961</v>
      </c>
    </row>
    <row customHeight="1" ht="11.25">
      <c r="A42" s="1069" t="s">
        <v>1623</v>
      </c>
      <c r="AX42" s="1115" t="s">
        <v>1624</v>
      </c>
      <c r="AZ42" s="1115" t="s">
        <v>455</v>
      </c>
      <c r="BE42" s="1115">
        <v>2040</v>
      </c>
      <c r="BH42" s="1063" t="s">
        <v>958</v>
      </c>
      <c r="BJ42" s="1216" t="s">
        <v>938</v>
      </c>
      <c r="BL42" s="1216" t="s">
        <v>938</v>
      </c>
      <c r="BN42" s="1063" t="s">
        <v>1625</v>
      </c>
    </row>
    <row customHeight="1" ht="11.25">
      <c r="A43" s="1069" t="s">
        <v>1626</v>
      </c>
      <c r="AX43" s="1115" t="s">
        <v>1627</v>
      </c>
      <c r="AZ43" s="1115" t="s">
        <v>1244</v>
      </c>
      <c r="BE43" s="1115">
        <v>2041</v>
      </c>
      <c r="BH43" s="1063" t="s">
        <v>1628</v>
      </c>
      <c r="BJ43" s="1216" t="s">
        <v>1622</v>
      </c>
      <c r="BL43" s="1216" t="s">
        <v>1622</v>
      </c>
      <c r="BN43" s="1063" t="s">
        <v>1629</v>
      </c>
    </row>
    <row customHeight="1" ht="11.25">
      <c r="A44" s="1069" t="s">
        <v>1630</v>
      </c>
      <c r="I44" s="793" t="s">
        <v>1631</v>
      </c>
      <c r="J44" s="1084" t="s">
        <v>1632</v>
      </c>
      <c r="K44" s="1084" t="s">
        <v>1633</v>
      </c>
      <c r="AX44" s="1115" t="s">
        <v>1634</v>
      </c>
      <c r="AZ44" s="1115" t="s">
        <v>1280</v>
      </c>
      <c r="BE44" s="1115">
        <v>2042</v>
      </c>
      <c r="BH44" s="1063" t="s">
        <v>1635</v>
      </c>
      <c r="BJ44" s="1216" t="s">
        <v>958</v>
      </c>
      <c r="BL44" s="1216" t="s">
        <v>958</v>
      </c>
      <c r="BN44" s="1063" t="s">
        <v>1636</v>
      </c>
    </row>
    <row customHeight="1" ht="11.25">
      <c r="A45" s="1069" t="s">
        <v>1637</v>
      </c>
      <c r="D45" s="1105" t="s">
        <v>1638</v>
      </c>
      <c r="E45" s="1106" t="s">
        <v>1639</v>
      </c>
      <c r="F45" s="791" t="s">
        <v>1640</v>
      </c>
      <c r="G45" s="790" t="s">
        <v>1641</v>
      </c>
      <c r="H45" s="793" t="s">
        <v>1642</v>
      </c>
      <c r="I45" s="1765">
        <f>INDEX(PeriodIsEmptyList,MATCH(TEMPLATE_GROUP,CodeTemplateList,0),1)</f>
        <v>0</v>
      </c>
      <c r="J45" s="1768" t="str">
        <f>INDEX(NameTemplatesInTitleList,MATCH(TEMPLATE_GROUP,CodeTemplateList,0),1)</f>
        <v>Показатели, подлежащие раскрытию в сфере теплоснабжения (цены и тарифы)</v>
      </c>
      <c r="K45" s="176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15" t="s">
        <v>1643</v>
      </c>
      <c r="AZ45" s="1115" t="s">
        <v>1313</v>
      </c>
      <c r="BE45" s="1115">
        <v>2043</v>
      </c>
      <c r="BH45" s="1063" t="s">
        <v>1644</v>
      </c>
      <c r="BJ45" s="1216" t="s">
        <v>952</v>
      </c>
      <c r="BL45" s="1216" t="s">
        <v>952</v>
      </c>
      <c r="BN45" s="1063" t="s">
        <v>1645</v>
      </c>
    </row>
    <row customHeight="1" ht="11.25">
      <c r="A46" s="1069" t="s">
        <v>1646</v>
      </c>
      <c r="E46" s="404" t="s">
        <v>22</v>
      </c>
      <c r="F46" s="1108" t="s">
        <v>1647</v>
      </c>
      <c r="G46" s="1110"/>
      <c r="H46" s="1110"/>
      <c r="I46" s="1766">
        <f>IF(TITLE_DATE_FIL="",TRUE,FALSE)</f>
        <v>1</v>
      </c>
      <c r="J46" s="1769" t="str">
        <f>"Общая информация о регулируемой организации ("&amp;TEMPLATE_SPHERE_RUS&amp;")"</f>
        <v>Общая информация о регулируемой организации (теплоснабжения)</v>
      </c>
      <c r="K46" s="1770"/>
      <c r="AX46" s="1115" t="s">
        <v>1648</v>
      </c>
      <c r="AZ46" s="1115" t="s">
        <v>1337</v>
      </c>
      <c r="BE46" s="1115">
        <v>2044</v>
      </c>
      <c r="BH46" s="1063" t="s">
        <v>961</v>
      </c>
      <c r="BJ46" s="1216" t="s">
        <v>942</v>
      </c>
      <c r="BL46" s="1216" t="s">
        <v>942</v>
      </c>
      <c r="BN46" s="1063" t="s">
        <v>1649</v>
      </c>
    </row>
    <row customHeight="1" ht="11.25">
      <c r="A47" s="1069" t="s">
        <v>1650</v>
      </c>
      <c r="E47" s="404" t="s">
        <v>29</v>
      </c>
      <c r="F47" s="1109" t="s">
        <v>1651</v>
      </c>
      <c r="G47" s="1111" t="str">
        <f>IF(f_year="","",IF(LEN(f_quart)=0,"",IF(f_quart="I квартал","01.01."&amp;f_year,IF(f_quart="II квартал","01.04."&amp;f_year,(IF(f_quart="III квартал","01.07."&amp;f_year,"01.10."&amp;f_year))))))</f>
        <v/>
      </c>
      <c r="H47" s="1111" t="str">
        <f>IF(f_year="","",IF(LEN(f_quart)=0,"",IF(f_quart="I квартал","31.03."&amp;f_year,IF(f_quart="II квартал","30.06."&amp;f_year,(IF(f_quart="III квартал","30.09."&amp;f_year,"31.12."&amp;f_year))))))</f>
        <v/>
      </c>
      <c r="I47" s="1767">
        <f>IF(OR(f_year="",f_quart=""),TRUE,FALSE)</f>
        <v>1</v>
      </c>
      <c r="J47" s="176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70"/>
      <c r="AX47" s="1115" t="s">
        <v>1652</v>
      </c>
      <c r="AZ47" s="1115" t="s">
        <v>1356</v>
      </c>
      <c r="BE47" s="1115">
        <v>2045</v>
      </c>
      <c r="BH47" s="1063" t="s">
        <v>1625</v>
      </c>
      <c r="BJ47" s="1216" t="s">
        <v>944</v>
      </c>
      <c r="BL47" s="1216" t="s">
        <v>944</v>
      </c>
      <c r="BN47" s="1063" t="s">
        <v>1653</v>
      </c>
    </row>
    <row customHeight="1" ht="11.25">
      <c r="A48" s="1069" t="s">
        <v>1654</v>
      </c>
      <c r="E48" s="404" t="s">
        <v>1655</v>
      </c>
      <c r="F48" s="1109" t="s">
        <v>1656</v>
      </c>
      <c r="G48" s="1111" t="str">
        <f>IF(f_year="","","01.01."&amp;f_year)</f>
        <v/>
      </c>
      <c r="H48" s="1111" t="str">
        <f>IF(f_year="","","31.12."&amp;f_year)</f>
        <v/>
      </c>
      <c r="I48" s="1766">
        <f>IF(f_year="",TRUE,FALSE)</f>
        <v>1</v>
      </c>
      <c r="J48" s="1769" t="s">
        <v>1657</v>
      </c>
      <c r="K48" s="1770"/>
      <c r="AX48" s="1115" t="s">
        <v>1658</v>
      </c>
      <c r="AZ48" s="1115" t="s">
        <v>1372</v>
      </c>
      <c r="BE48" s="1115">
        <v>2046</v>
      </c>
      <c r="BH48" s="1063" t="s">
        <v>1629</v>
      </c>
      <c r="BJ48" s="1216" t="s">
        <v>946</v>
      </c>
      <c r="BL48" s="1216" t="s">
        <v>946</v>
      </c>
      <c r="BN48" s="1063" t="s">
        <v>1659</v>
      </c>
    </row>
    <row customHeight="1" ht="11.25">
      <c r="A49" s="1069" t="s">
        <v>1660</v>
      </c>
      <c r="E49" s="404" t="s">
        <v>1661</v>
      </c>
      <c r="F49" s="1109" t="s">
        <v>1662</v>
      </c>
      <c r="G49" s="1111" t="str">
        <f>IF(f_year="","","01.01."&amp;f_year)</f>
        <v/>
      </c>
      <c r="H49" s="1111" t="str">
        <f>IF(f_year="","","31.12."&amp;f_year)</f>
        <v/>
      </c>
      <c r="I49" s="1766">
        <f>IF(f_year="",TRUE,FALSE)</f>
        <v>1</v>
      </c>
      <c r="J49" s="176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70"/>
      <c r="AX49" s="1115" t="s">
        <v>1663</v>
      </c>
      <c r="AZ49" s="1115" t="s">
        <v>1388</v>
      </c>
      <c r="BE49" s="1115">
        <v>2047</v>
      </c>
      <c r="BH49" s="1063" t="s">
        <v>962</v>
      </c>
      <c r="BJ49" s="1216" t="s">
        <v>948</v>
      </c>
      <c r="BL49" s="1216" t="s">
        <v>948</v>
      </c>
    </row>
    <row customHeight="1" ht="11.25">
      <c r="A50" s="1069" t="s">
        <v>1664</v>
      </c>
      <c r="E50" s="404" t="s">
        <v>1665</v>
      </c>
      <c r="F50" s="1109" t="s">
        <v>932</v>
      </c>
      <c r="G50" s="1111" t="str">
        <f>IF(f_year="","","01.01."&amp;f_year)</f>
        <v/>
      </c>
      <c r="H50" s="1111" t="str">
        <f>IF(f_year="","","31.12."&amp;f_year)</f>
        <v/>
      </c>
      <c r="I50" s="1766">
        <f>IF(f_year="",TRUE,FALSE)</f>
        <v>1</v>
      </c>
      <c r="J50" s="176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70"/>
      <c r="AX50" s="1115" t="s">
        <v>1666</v>
      </c>
      <c r="AZ50" s="1115" t="s">
        <v>1404</v>
      </c>
      <c r="BE50" s="1115">
        <v>2048</v>
      </c>
      <c r="BH50" s="1063" t="s">
        <v>1636</v>
      </c>
      <c r="BJ50" s="1216" t="s">
        <v>950</v>
      </c>
      <c r="BL50" s="1216" t="s">
        <v>950</v>
      </c>
    </row>
    <row customHeight="1" ht="11.25">
      <c r="A51" s="1069" t="s">
        <v>1667</v>
      </c>
      <c r="E51" s="404" t="s">
        <v>1668</v>
      </c>
      <c r="F51" s="1109" t="s">
        <v>1669</v>
      </c>
      <c r="G51" s="1111" t="str">
        <f>IF(TITLE_PERIOD_START="","",TITLE_PERIOD_START)</f>
        <v>45292.58189814815</v>
      </c>
      <c r="H51" s="1111" t="str">
        <f>IF(TITLE_PERIOD_END="","",TITLE_PERIOD_END)</f>
        <v>47118.58194444444</v>
      </c>
      <c r="I51" s="1767">
        <f>IF(OR(TITLE_PERIOD_START="",TITLE_PERIOD_END=""),TRUE,FALSE)</f>
        <v>0</v>
      </c>
      <c r="J51" s="176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70"/>
      <c r="AX51" s="1115" t="s">
        <v>1670</v>
      </c>
      <c r="AZ51" s="1115" t="s">
        <v>1420</v>
      </c>
      <c r="BE51" s="1115">
        <v>2049</v>
      </c>
      <c r="BH51" s="1063" t="s">
        <v>1645</v>
      </c>
      <c r="BJ51" s="1216" t="s">
        <v>1671</v>
      </c>
      <c r="BL51" s="1216" t="s">
        <v>1671</v>
      </c>
    </row>
    <row customHeight="1" ht="11.25">
      <c r="A52" s="1069" t="s">
        <v>1672</v>
      </c>
      <c r="E52" s="404" t="s">
        <v>1673</v>
      </c>
      <c r="F52" s="1109" t="s">
        <v>1639</v>
      </c>
      <c r="G52" s="1111" t="str">
        <f>IF(TITLE_PERIOD_START="","",TITLE_PERIOD_START)</f>
        <v>45292.58189814815</v>
      </c>
      <c r="H52" s="1111" t="str">
        <f>IF(TITLE_PERIOD_END="","",TITLE_PERIOD_END)</f>
        <v>47118.58194444444</v>
      </c>
      <c r="I52" s="1767">
        <f>IF(OR(TITLE_PERIOD_START="",TITLE_PERIOD_END=""),TRUE,FALSE)</f>
        <v>0</v>
      </c>
      <c r="J52" s="1769" t="str">
        <f>"Показатели, подлежащие раскрытию в сфере "&amp;TEMPLATE_SPHERE_RUS&amp;" (цены и тарифы)"</f>
        <v>Показатели, подлежащие раскрытию в сфере теплоснабжения (цены и тарифы)</v>
      </c>
      <c r="K52" s="1770"/>
      <c r="AX52" s="1115" t="s">
        <v>1674</v>
      </c>
      <c r="AZ52" s="1115" t="s">
        <v>453</v>
      </c>
      <c r="BE52" s="1115">
        <v>2050</v>
      </c>
      <c r="BH52" s="1063" t="s">
        <v>1649</v>
      </c>
      <c r="BJ52" s="1216" t="s">
        <v>961</v>
      </c>
      <c r="BL52" s="1216" t="s">
        <v>961</v>
      </c>
    </row>
    <row customHeight="1" ht="11.25">
      <c r="A53" s="1069" t="s">
        <v>1675</v>
      </c>
      <c r="E53" s="404" t="s">
        <v>1676</v>
      </c>
      <c r="F53" s="1109" t="s">
        <v>1676</v>
      </c>
      <c r="G53" s="1111" t="str">
        <f>IF(f_year="","","01.01."&amp;f_year)</f>
        <v/>
      </c>
      <c r="H53" s="1111" t="str">
        <f>IF(f_year="","","31.12."&amp;f_year)</f>
        <v/>
      </c>
      <c r="I53" s="1766">
        <f>IF(AND(f_year="",TITLE_DATE_FIL=""),TRUE,FALSE)</f>
        <v>1</v>
      </c>
      <c r="J53" s="1769" t="s">
        <v>1677</v>
      </c>
      <c r="K53" s="1770"/>
      <c r="AX53" s="1115" t="s">
        <v>1678</v>
      </c>
      <c r="BE53" s="1115">
        <v>2051</v>
      </c>
      <c r="BH53" s="1063" t="s">
        <v>1653</v>
      </c>
      <c r="BJ53" s="1216" t="s">
        <v>1625</v>
      </c>
      <c r="BL53" s="1216" t="s">
        <v>1625</v>
      </c>
    </row>
    <row customHeight="1" ht="11.25">
      <c r="A54" s="1069" t="s">
        <v>1679</v>
      </c>
      <c r="AX54" s="1115" t="s">
        <v>1680</v>
      </c>
      <c r="AZ54" s="1062" t="s">
        <v>1681</v>
      </c>
      <c r="BE54" s="1115">
        <v>2052</v>
      </c>
      <c r="BH54" s="1063" t="s">
        <v>1659</v>
      </c>
      <c r="BJ54" s="1216" t="s">
        <v>1629</v>
      </c>
      <c r="BL54" s="1216" t="s">
        <v>1629</v>
      </c>
    </row>
    <row customHeight="1" ht="11.25">
      <c r="A55" s="1069" t="s">
        <v>1682</v>
      </c>
      <c r="AX55" s="1115" t="s">
        <v>1683</v>
      </c>
      <c r="AZ55" s="1115" t="s">
        <v>1221</v>
      </c>
      <c r="BE55" s="1115">
        <v>2053</v>
      </c>
      <c r="BH55" s="1065" t="s">
        <v>24</v>
      </c>
      <c r="BJ55" s="1216" t="s">
        <v>962</v>
      </c>
      <c r="BL55" s="1216" t="s">
        <v>962</v>
      </c>
    </row>
    <row customHeight="1" ht="11.25">
      <c r="A56" s="1069" t="s">
        <v>1684</v>
      </c>
      <c r="D56" s="1113" t="s">
        <v>1685</v>
      </c>
      <c r="E56" s="1089">
        <v>55</v>
      </c>
      <c r="F56" s="1069" t="s">
        <v>1686</v>
      </c>
      <c r="AX56" s="1115" t="s">
        <v>1687</v>
      </c>
      <c r="AZ56" s="1115" t="s">
        <v>1248</v>
      </c>
      <c r="BE56" s="1115">
        <v>2054</v>
      </c>
      <c r="BH56" s="1065" t="s">
        <v>24</v>
      </c>
      <c r="BJ56" s="1216" t="s">
        <v>1636</v>
      </c>
      <c r="BL56" s="1216" t="s">
        <v>1636</v>
      </c>
    </row>
    <row customHeight="1" ht="11.25">
      <c r="A57" s="1069" t="s">
        <v>1688</v>
      </c>
      <c r="D57" s="1113" t="s">
        <v>1689</v>
      </c>
      <c r="E57" s="1089">
        <v>66</v>
      </c>
      <c r="F57" s="1069" t="s">
        <v>1686</v>
      </c>
      <c r="AX57" s="1115" t="s">
        <v>1690</v>
      </c>
      <c r="AZ57" s="1115" t="s">
        <v>1283</v>
      </c>
      <c r="BE57" s="1115">
        <v>2055</v>
      </c>
      <c r="BJ57" s="1216" t="s">
        <v>1645</v>
      </c>
      <c r="BL57" s="1216" t="s">
        <v>1645</v>
      </c>
    </row>
    <row customHeight="1" ht="11.25">
      <c r="A58" s="1069" t="s">
        <v>1691</v>
      </c>
      <c r="D58" s="1113" t="s">
        <v>1692</v>
      </c>
      <c r="E58" s="1089">
        <v>44</v>
      </c>
      <c r="F58" s="1069" t="s">
        <v>1686</v>
      </c>
      <c r="AX58" s="1115" t="s">
        <v>1693</v>
      </c>
      <c r="BE58" s="1115">
        <v>2056</v>
      </c>
      <c r="BJ58" s="1216" t="s">
        <v>1649</v>
      </c>
      <c r="BL58" s="1216" t="s">
        <v>1649</v>
      </c>
    </row>
    <row customHeight="1" ht="11.25">
      <c r="A59" s="1069" t="s">
        <v>1694</v>
      </c>
      <c r="D59" s="1113" t="s">
        <v>130</v>
      </c>
      <c r="E59" s="1089" t="s">
        <v>1516</v>
      </c>
      <c r="F59" s="1069" t="s">
        <v>1695</v>
      </c>
      <c r="AX59" s="1115" t="s">
        <v>1696</v>
      </c>
      <c r="AZ59" s="1062" t="s">
        <v>1697</v>
      </c>
      <c r="BE59" s="1115">
        <v>2057</v>
      </c>
      <c r="BJ59" s="1216" t="s">
        <v>1653</v>
      </c>
      <c r="BL59" s="1216" t="s">
        <v>1653</v>
      </c>
    </row>
    <row customHeight="1" ht="11.25">
      <c r="A60" s="1069" t="s">
        <v>1698</v>
      </c>
      <c r="D60" s="1113" t="s">
        <v>1699</v>
      </c>
      <c r="E60" s="1089" t="s">
        <v>1516</v>
      </c>
      <c r="F60" s="1069" t="s">
        <v>1695</v>
      </c>
      <c r="AX60" s="1115" t="s">
        <v>1700</v>
      </c>
      <c r="AZ60" s="1115" t="s">
        <v>1222</v>
      </c>
      <c r="BE60" s="1115">
        <v>2058</v>
      </c>
      <c r="BJ60" s="1216" t="s">
        <v>1659</v>
      </c>
      <c r="BL60" s="1216" t="s">
        <v>1659</v>
      </c>
    </row>
    <row customHeight="1" ht="11.25">
      <c r="A61" s="1069" t="s">
        <v>1701</v>
      </c>
      <c r="D61" s="1113" t="s">
        <v>1702</v>
      </c>
      <c r="E61" s="1089">
        <v>28</v>
      </c>
      <c r="F61" s="1069" t="s">
        <v>1695</v>
      </c>
      <c r="AX61" s="1115" t="s">
        <v>1703</v>
      </c>
      <c r="AZ61" s="1115" t="s">
        <v>1249</v>
      </c>
      <c r="BE61" s="1115">
        <v>2059</v>
      </c>
      <c r="BL61" s="1216" t="s">
        <v>954</v>
      </c>
    </row>
    <row customHeight="1" ht="11.25">
      <c r="A62" s="1069" t="s">
        <v>1704</v>
      </c>
      <c r="D62" s="1113" t="s">
        <v>129</v>
      </c>
      <c r="E62" s="1089">
        <v>32</v>
      </c>
      <c r="F62" s="1069" t="s">
        <v>1695</v>
      </c>
      <c r="AZ62" s="1115" t="s">
        <v>1284</v>
      </c>
      <c r="BE62" s="1115">
        <v>2060</v>
      </c>
      <c r="BL62" s="1216" t="s">
        <v>956</v>
      </c>
    </row>
    <row customHeight="1" ht="11.25">
      <c r="A63" s="1069" t="s">
        <v>1705</v>
      </c>
      <c r="D63" s="1113" t="s">
        <v>1706</v>
      </c>
      <c r="E63" s="1089">
        <v>32</v>
      </c>
      <c r="F63" s="1069" t="s">
        <v>1695</v>
      </c>
      <c r="AZ63" s="1115" t="s">
        <v>1315</v>
      </c>
      <c r="BE63" s="1115">
        <v>2061</v>
      </c>
    </row>
    <row customHeight="1" ht="11.25">
      <c r="A64" s="1069" t="s">
        <v>1707</v>
      </c>
      <c r="D64" s="1113" t="s">
        <v>1708</v>
      </c>
      <c r="E64" s="1089">
        <v>32</v>
      </c>
      <c r="F64" s="1069" t="s">
        <v>1695</v>
      </c>
      <c r="AZ64" s="1115" t="s">
        <v>1338</v>
      </c>
      <c r="BE64" s="1115">
        <v>2062</v>
      </c>
    </row>
    <row customHeight="1" ht="11.25">
      <c r="A65" s="1069" t="s">
        <v>1709</v>
      </c>
      <c r="D65" s="1069"/>
      <c r="BE65" s="1115">
        <v>2063</v>
      </c>
    </row>
    <row customHeight="1" ht="11.25">
      <c r="A66" s="1069" t="s">
        <v>1710</v>
      </c>
      <c r="AZ66" s="1062" t="s">
        <v>1711</v>
      </c>
      <c r="BE66" s="1115">
        <v>2064</v>
      </c>
    </row>
    <row customHeight="1" ht="11.25">
      <c r="A67" s="1069" t="s">
        <v>1712</v>
      </c>
      <c r="AZ67" s="1115" t="s">
        <v>1223</v>
      </c>
      <c r="BE67" s="1115">
        <v>2065</v>
      </c>
    </row>
    <row customHeight="1" ht="11.25">
      <c r="A68" s="1069" t="s">
        <v>1713</v>
      </c>
      <c r="AZ68" s="1115" t="s">
        <v>1250</v>
      </c>
      <c r="BE68" s="1115">
        <v>2066</v>
      </c>
      <c r="BH68" s="1062" t="s">
        <v>1714</v>
      </c>
      <c r="BJ68" s="1062" t="s">
        <v>1715</v>
      </c>
      <c r="BL68" s="1062" t="s">
        <v>1716</v>
      </c>
      <c r="BN68" s="1062" t="s">
        <v>1717</v>
      </c>
    </row>
    <row customHeight="1" ht="11.25">
      <c r="A69" s="1069" t="s">
        <v>1718</v>
      </c>
      <c r="AZ69" s="1115" t="s">
        <v>1285</v>
      </c>
      <c r="BE69" s="1115">
        <v>2067</v>
      </c>
      <c r="BH69" s="1063" t="s">
        <v>1719</v>
      </c>
      <c r="BI69" s="1112" t="s">
        <v>108</v>
      </c>
      <c r="BJ69" s="1063" t="s">
        <v>1720</v>
      </c>
      <c r="BK69" s="1112" t="s">
        <v>108</v>
      </c>
      <c r="BL69" s="1063" t="s">
        <v>1721</v>
      </c>
      <c r="BN69" s="1063" t="s">
        <v>1722</v>
      </c>
    </row>
    <row customHeight="1" ht="11.25">
      <c r="A70" s="1069" t="s">
        <v>1723</v>
      </c>
      <c r="AZ70" s="1115" t="s">
        <v>1316</v>
      </c>
      <c r="BE70" s="1115">
        <v>2068</v>
      </c>
      <c r="BH70" s="1063" t="s">
        <v>1724</v>
      </c>
      <c r="BJ70" s="1063" t="s">
        <v>1725</v>
      </c>
      <c r="BL70" s="1063" t="s">
        <v>1726</v>
      </c>
      <c r="BN70" s="1063" t="s">
        <v>1727</v>
      </c>
    </row>
    <row customHeight="1" ht="11.25">
      <c r="A71" s="1069" t="s">
        <v>1728</v>
      </c>
      <c r="AZ71" s="1115" t="s">
        <v>1318</v>
      </c>
      <c r="BE71" s="1115">
        <v>2069</v>
      </c>
      <c r="BH71" s="1063" t="s">
        <v>1729</v>
      </c>
      <c r="BI71" s="1112" t="s">
        <v>89</v>
      </c>
      <c r="BJ71" s="1063" t="s">
        <v>1730</v>
      </c>
      <c r="BK71" s="1112" t="s">
        <v>89</v>
      </c>
      <c r="BL71" s="1063" t="s">
        <v>1731</v>
      </c>
      <c r="BN71" s="1063" t="s">
        <v>1732</v>
      </c>
    </row>
    <row customHeight="1" ht="11.25">
      <c r="A72" s="1069" t="s">
        <v>1733</v>
      </c>
      <c r="AZ72" s="1115" t="s">
        <v>56</v>
      </c>
      <c r="BE72" s="1115">
        <v>2070</v>
      </c>
      <c r="BH72" s="1063" t="s">
        <v>1734</v>
      </c>
      <c r="BJ72" s="1063" t="s">
        <v>1734</v>
      </c>
      <c r="BL72" s="1063" t="s">
        <v>1734</v>
      </c>
      <c r="BN72" s="1063" t="s">
        <v>1735</v>
      </c>
    </row>
    <row customHeight="1" ht="11.25">
      <c r="A73" s="1069" t="s">
        <v>1736</v>
      </c>
      <c r="BH73" s="1063" t="s">
        <v>1737</v>
      </c>
      <c r="BI73" s="1112" t="s">
        <v>110</v>
      </c>
      <c r="BJ73" s="1063" t="s">
        <v>1738</v>
      </c>
      <c r="BK73" s="1112" t="s">
        <v>110</v>
      </c>
      <c r="BL73" s="1063" t="s">
        <v>1739</v>
      </c>
      <c r="BN73" s="1063" t="s">
        <v>1740</v>
      </c>
    </row>
    <row customHeight="1" ht="11.25">
      <c r="A74" s="1069" t="s">
        <v>1741</v>
      </c>
      <c r="BH74" s="1063" t="s">
        <v>1742</v>
      </c>
      <c r="BJ74" s="1063" t="s">
        <v>1743</v>
      </c>
      <c r="BL74" s="1063" t="s">
        <v>1744</v>
      </c>
      <c r="BN74" s="1063" t="s">
        <v>1745</v>
      </c>
    </row>
    <row customHeight="1" ht="11.25">
      <c r="A75" s="1069" t="s">
        <v>1746</v>
      </c>
      <c r="AZ75" s="1062" t="s">
        <v>1747</v>
      </c>
      <c r="BH75" s="1063" t="s">
        <v>1748</v>
      </c>
      <c r="BJ75" s="1063" t="s">
        <v>1748</v>
      </c>
      <c r="BL75" s="1063" t="s">
        <v>1748</v>
      </c>
    </row>
    <row customHeight="1" ht="11.25">
      <c r="A76" s="1069" t="s">
        <v>1749</v>
      </c>
      <c r="AZ76" s="1115" t="s">
        <v>1232</v>
      </c>
      <c r="BH76" s="1063" t="s">
        <v>1750</v>
      </c>
      <c r="BJ76" s="1063" t="s">
        <v>1751</v>
      </c>
      <c r="BL76" s="1063" t="s">
        <v>1752</v>
      </c>
    </row>
    <row customHeight="1" ht="11.25">
      <c r="A77" s="1069" t="s">
        <v>1753</v>
      </c>
      <c r="AZ77" s="1115" t="s">
        <v>1260</v>
      </c>
    </row>
    <row customHeight="1" ht="11.25">
      <c r="A78" s="1069" t="s">
        <v>1754</v>
      </c>
      <c r="AZ78" s="1115" t="s">
        <v>1292</v>
      </c>
    </row>
    <row customHeight="1" ht="11.25">
      <c r="A79" s="1069" t="s">
        <v>1755</v>
      </c>
      <c r="AZ79" s="1115" t="s">
        <v>1322</v>
      </c>
      <c r="BH79" s="1062" t="s">
        <v>1756</v>
      </c>
      <c r="BJ79" s="1062" t="s">
        <v>1757</v>
      </c>
      <c r="BL79" s="1062" t="s">
        <v>1758</v>
      </c>
    </row>
    <row customHeight="1" ht="11.25">
      <c r="A80" s="1069" t="s">
        <v>1759</v>
      </c>
      <c r="AZ80" s="1115" t="s">
        <v>1343</v>
      </c>
      <c r="BH80" s="1063" t="s">
        <v>1760</v>
      </c>
      <c r="BJ80" s="1063" t="s">
        <v>1761</v>
      </c>
      <c r="BL80" s="1063" t="s">
        <v>1762</v>
      </c>
    </row>
    <row customHeight="1" ht="11.25">
      <c r="A81" s="1069" t="s">
        <v>1763</v>
      </c>
      <c r="AZ81" s="1115" t="s">
        <v>1360</v>
      </c>
      <c r="BH81" s="1063" t="s">
        <v>1764</v>
      </c>
      <c r="BJ81" s="1063" t="s">
        <v>1765</v>
      </c>
      <c r="BL81" s="1063" t="s">
        <v>1766</v>
      </c>
    </row>
    <row customHeight="1" ht="11.25">
      <c r="A82" s="1069" t="s">
        <v>1767</v>
      </c>
      <c r="AZ82" s="1115" t="s">
        <v>1374</v>
      </c>
      <c r="BH82" s="1063" t="s">
        <v>1768</v>
      </c>
      <c r="BJ82" s="1063" t="s">
        <v>1769</v>
      </c>
      <c r="BL82" s="1063" t="s">
        <v>1770</v>
      </c>
    </row>
    <row customHeight="1" ht="11.25">
      <c r="A83" s="1069" t="s">
        <v>1771</v>
      </c>
      <c r="BH83" s="1063" t="s">
        <v>1772</v>
      </c>
      <c r="BJ83" s="1063" t="s">
        <v>1773</v>
      </c>
      <c r="BL83" s="1063" t="s">
        <v>1774</v>
      </c>
    </row>
    <row customHeight="1" ht="11.25">
      <c r="A84" s="1069" t="s">
        <v>1775</v>
      </c>
      <c r="AZ84" s="1062" t="s">
        <v>1776</v>
      </c>
    </row>
    <row customHeight="1" ht="11.25">
      <c r="A85" s="1895" t="s">
        <v>1777</v>
      </c>
      <c r="AZ85" s="1115" t="s">
        <v>1778</v>
      </c>
    </row>
    <row customHeight="1" ht="11.25">
      <c r="A86" s="1069" t="s">
        <v>1779</v>
      </c>
      <c r="AZ86" s="1115" t="s">
        <v>1780</v>
      </c>
      <c r="BH86" s="1062" t="s">
        <v>1781</v>
      </c>
      <c r="BJ86" s="1062" t="s">
        <v>1782</v>
      </c>
      <c r="BL86" s="1062" t="s">
        <v>1783</v>
      </c>
    </row>
    <row customHeight="1" ht="11.25">
      <c r="A87" s="1069" t="s">
        <v>1784</v>
      </c>
      <c r="AZ87" s="1115" t="s">
        <v>1785</v>
      </c>
      <c r="BH87" s="1063" t="s">
        <v>1786</v>
      </c>
      <c r="BJ87" s="1063" t="s">
        <v>1787</v>
      </c>
      <c r="BL87" s="1063" t="s">
        <v>1788</v>
      </c>
    </row>
    <row customHeight="1" ht="11.25">
      <c r="A88" s="1069" t="s">
        <v>1789</v>
      </c>
      <c r="AZ88" s="0"/>
      <c r="BH88" s="1063" t="s">
        <v>1790</v>
      </c>
      <c r="BJ88" s="1063" t="s">
        <v>1791</v>
      </c>
      <c r="BL88" s="1063" t="s">
        <v>1792</v>
      </c>
    </row>
    <row customHeight="1" ht="11.25">
      <c r="A89" s="1069" t="s">
        <v>1793</v>
      </c>
      <c r="AZ89" s="1062" t="s">
        <v>1794</v>
      </c>
    </row>
    <row customHeight="1" ht="11.25">
      <c r="A90" s="1069" t="s">
        <v>1795</v>
      </c>
      <c r="AZ90" s="1115" t="s">
        <v>932</v>
      </c>
    </row>
    <row customHeight="1" ht="11.25">
      <c r="A91" s="1069" t="s">
        <v>1796</v>
      </c>
      <c r="AZ91" s="1115" t="s">
        <v>968</v>
      </c>
      <c r="BH91" s="1062" t="s">
        <v>1797</v>
      </c>
      <c r="BJ91" s="1062" t="s">
        <v>1798</v>
      </c>
      <c r="BL91" s="1062" t="s">
        <v>1799</v>
      </c>
    </row>
    <row customHeight="1" ht="11.25">
      <c r="AZ92" s="1115" t="s">
        <v>1800</v>
      </c>
      <c r="BH92" s="1063" t="s">
        <v>1801</v>
      </c>
      <c r="BJ92" s="1063" t="s">
        <v>1802</v>
      </c>
      <c r="BL92" s="1063" t="s">
        <v>1803</v>
      </c>
    </row>
    <row customHeight="1" ht="11.25">
      <c r="AZ93" s="1115" t="s">
        <v>1804</v>
      </c>
      <c r="BH93" s="1063" t="s">
        <v>1805</v>
      </c>
      <c r="BJ93" s="1063" t="s">
        <v>1806</v>
      </c>
      <c r="BL93" s="1063" t="s">
        <v>1807</v>
      </c>
    </row>
    <row customHeight="1" ht="11.25">
      <c r="AZ94" s="1115" t="s">
        <v>1808</v>
      </c>
    </row>
    <row r="96" customHeight="1" ht="11.25">
      <c r="AZ96" s="1062" t="s">
        <v>1809</v>
      </c>
      <c r="BH96" s="1062" t="s">
        <v>1810</v>
      </c>
      <c r="BJ96" s="1062" t="s">
        <v>1811</v>
      </c>
      <c r="BL96" s="1062" t="s">
        <v>1812</v>
      </c>
      <c r="BN96" s="1062" t="s">
        <v>1813</v>
      </c>
    </row>
    <row customHeight="1" ht="11.25">
      <c r="AZ97" s="1115" t="s">
        <v>1814</v>
      </c>
      <c r="BH97" s="1063" t="s">
        <v>1815</v>
      </c>
      <c r="BJ97" s="1063" t="s">
        <v>1816</v>
      </c>
      <c r="BL97" s="1063" t="s">
        <v>1817</v>
      </c>
      <c r="BN97" s="1063" t="s">
        <v>1818</v>
      </c>
    </row>
    <row customHeight="1" ht="11.25">
      <c r="AZ98" s="1115" t="s">
        <v>1819</v>
      </c>
      <c r="BH98" s="1063" t="s">
        <v>1820</v>
      </c>
      <c r="BJ98" s="1063" t="s">
        <v>1821</v>
      </c>
      <c r="BL98" s="1063" t="s">
        <v>1822</v>
      </c>
      <c r="BN98" s="1063" t="s">
        <v>1823</v>
      </c>
    </row>
    <row customHeight="1" ht="11.25">
      <c r="AZ99" s="1115" t="s">
        <v>1824</v>
      </c>
      <c r="BH99" s="1063" t="s">
        <v>1825</v>
      </c>
      <c r="BJ99" s="1063" t="s">
        <v>1826</v>
      </c>
      <c r="BL99" s="1063" t="s">
        <v>1827</v>
      </c>
      <c r="BN99" s="1063" t="s">
        <v>1828</v>
      </c>
    </row>
    <row customHeight="1" ht="11.25">
      <c r="BJ100" s="1063" t="s">
        <v>1420</v>
      </c>
      <c r="BL100" s="1063" t="s">
        <v>1420</v>
      </c>
      <c r="BN100" s="1063" t="s">
        <v>1829</v>
      </c>
    </row>
    <row customHeight="1" ht="11.25">
      <c r="AZ101" s="1716" t="s">
        <v>1830</v>
      </c>
      <c r="BN101" s="1063" t="s">
        <v>1831</v>
      </c>
    </row>
    <row customHeight="1" ht="11.25">
      <c r="AZ102" s="1115" t="s">
        <v>1832</v>
      </c>
      <c r="BN102" s="1063" t="s">
        <v>1833</v>
      </c>
    </row>
    <row customHeight="1" ht="11.25">
      <c r="AZ103" s="1115" t="s">
        <v>1834</v>
      </c>
      <c r="BN103" s="1063" t="s">
        <v>1835</v>
      </c>
    </row>
    <row customHeight="1" ht="11.25">
      <c r="AZ104" s="1115" t="s">
        <v>570</v>
      </c>
      <c r="BN104" s="1063" t="s">
        <v>1836</v>
      </c>
    </row>
    <row r="107" customHeight="1" ht="11.25">
      <c r="BH107" s="1062" t="s">
        <v>1837</v>
      </c>
      <c r="BJ107" s="1062" t="s">
        <v>1838</v>
      </c>
      <c r="BL107" s="1062" t="s">
        <v>1839</v>
      </c>
      <c r="BN107" s="1062" t="s">
        <v>1840</v>
      </c>
    </row>
    <row customHeight="1" ht="11.25">
      <c r="BH108" s="1063" t="s">
        <v>1841</v>
      </c>
      <c r="BJ108" s="1063" t="s">
        <v>1842</v>
      </c>
      <c r="BL108" s="1063" t="s">
        <v>1504</v>
      </c>
      <c r="BN108" s="1063" t="s">
        <v>1843</v>
      </c>
    </row>
    <row customHeight="1" ht="11.25">
      <c r="BH109" s="1063" t="s">
        <v>1844</v>
      </c>
    </row>
    <row customHeight="1" ht="11.25">
      <c r="BH110" s="1063" t="s">
        <v>1844</v>
      </c>
    </row>
    <row r="114" customHeight="1" ht="11.25">
      <c r="BH114" s="1062" t="s">
        <v>1845</v>
      </c>
    </row>
    <row customHeight="1" ht="11.25">
      <c r="BH115" s="1063" t="s">
        <v>453</v>
      </c>
    </row>
    <row customHeight="1" ht="11.25">
      <c r="BH116" s="1063" t="s">
        <v>1246</v>
      </c>
    </row>
    <row customHeight="1" ht="11.25">
      <c r="BH117" s="1063" t="s">
        <v>1281</v>
      </c>
    </row>
    <row customHeight="1" ht="11.25">
      <c r="BH118" s="1063" t="s">
        <v>1314</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5E08ED-2B06-3071-50D8-5043794EC5A6}"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34" width="43.140625"/>
    <col min="2" max="2" style="834" width="43.140625" hidden="1"/>
    <col min="3" max="3" style="834" width="43.140625"/>
    <col min="4" max="5" style="834" width="36.421875" customWidth="1"/>
    <col min="6" max="8" style="976" width="36.421875" customWidth="1"/>
  </cols>
  <sheetData>
    <row customHeight="1" ht="9">
      <c r="A1" s="840" t="s">
        <v>1846</v>
      </c>
      <c r="B1" s="840"/>
      <c r="C1" s="977" t="s">
        <v>1847</v>
      </c>
      <c r="D1" s="975" t="s">
        <v>721</v>
      </c>
      <c r="E1" s="975" t="s">
        <v>767</v>
      </c>
      <c r="F1" s="975" t="s">
        <v>819</v>
      </c>
      <c r="G1" s="975" t="s">
        <v>805</v>
      </c>
      <c r="H1" s="975" t="s">
        <v>1619</v>
      </c>
    </row>
    <row customHeight="1" ht="9">
      <c r="A2" s="978" t="s">
        <v>1848</v>
      </c>
      <c r="B2" s="978"/>
      <c r="C2" s="979" t="str">
        <f>INDEX(TEMPLATE_NUMBER_FORM_LIST,MATCH(TEMPLATE_SPHERE,TEMPLATE_SPHERE_LIST,0))</f>
        <v>16</v>
      </c>
      <c r="D2" s="978" t="s">
        <v>1470</v>
      </c>
      <c r="E2" s="978" t="s">
        <v>147</v>
      </c>
      <c r="F2" s="980" t="s">
        <v>147</v>
      </c>
      <c r="G2" s="978" t="s">
        <v>147</v>
      </c>
      <c r="H2" s="981"/>
    </row>
    <row customHeight="1" ht="63">
      <c r="A3" s="840"/>
      <c r="B3" s="840" t="s">
        <v>108</v>
      </c>
      <c r="C3" s="979"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79" t="s">
        <v>1849</v>
      </c>
      <c r="E3" s="979"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0"/>
      <c r="G3" s="981"/>
      <c r="H3" s="840"/>
    </row>
    <row customHeight="1" ht="243">
      <c r="A4" s="840" t="s">
        <v>1850</v>
      </c>
      <c r="B4" s="840" t="s">
        <v>109</v>
      </c>
      <c r="C4" s="979"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78" t="s">
        <v>1851</v>
      </c>
      <c r="E4" s="97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78"/>
      <c r="G4" s="978"/>
      <c r="H4" s="840" t="s">
        <v>1852</v>
      </c>
    </row>
    <row customHeight="1" ht="117">
      <c r="A5" s="840" t="s">
        <v>1853</v>
      </c>
      <c r="B5" s="840" t="s">
        <v>89</v>
      </c>
      <c r="C5" s="979"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0" t="s">
        <v>1854</v>
      </c>
      <c r="E5" s="84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1"/>
      <c r="G5" s="981"/>
      <c r="H5" s="840" t="s">
        <v>1855</v>
      </c>
    </row>
    <row customHeight="1" ht="45">
      <c r="A6" s="840" t="s">
        <v>1856</v>
      </c>
      <c r="B6" s="840" t="s">
        <v>90</v>
      </c>
      <c r="C6" s="979"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40" t="s">
        <v>1857</v>
      </c>
      <c r="E6" s="84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0"/>
      <c r="G6" s="840"/>
      <c r="H6" s="981"/>
    </row>
    <row customHeight="1" ht="45">
      <c r="A7" s="840" t="s">
        <v>1858</v>
      </c>
      <c r="B7" s="840" t="s">
        <v>110</v>
      </c>
      <c r="C7" s="979" t="str">
        <f>IF(TEMPLATE_SPHERE="HEAT",D7,E7)</f>
        <v>Форма 11. Информация о расходах на капитальный и текущий ремонт основных средств</v>
      </c>
      <c r="D7" s="840" t="s">
        <v>1859</v>
      </c>
      <c r="E7" s="840" t="s">
        <v>1860</v>
      </c>
      <c r="F7" s="981"/>
      <c r="G7" s="981"/>
      <c r="H7" s="981"/>
    </row>
    <row customHeight="1" ht="108">
      <c r="A8" s="840" t="s">
        <v>1861</v>
      </c>
      <c r="B8" s="840" t="s">
        <v>91</v>
      </c>
      <c r="C8" s="979"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0" t="s">
        <v>1862</v>
      </c>
      <c r="E8" s="840" t="s">
        <v>1863</v>
      </c>
      <c r="F8" s="981"/>
      <c r="G8" s="981"/>
      <c r="H8" s="981"/>
    </row>
    <row customHeight="1" ht="99">
      <c r="A9" s="840" t="s">
        <v>1864</v>
      </c>
      <c r="B9" s="840"/>
      <c r="C9" s="840" t="s">
        <v>1865</v>
      </c>
      <c r="D9" s="840"/>
      <c r="E9" s="840"/>
      <c r="F9" s="981"/>
      <c r="G9" s="981"/>
      <c r="H9" s="981"/>
    </row>
    <row customHeight="1" ht="126">
      <c r="A10" s="840" t="s">
        <v>1866</v>
      </c>
      <c r="B10" s="840"/>
      <c r="C10" s="840" t="s">
        <v>1867</v>
      </c>
      <c r="D10" s="840"/>
      <c r="E10" s="840"/>
      <c r="F10" s="981"/>
      <c r="G10" s="981"/>
      <c r="H10" s="981"/>
    </row>
    <row customHeight="1" ht="108">
      <c r="A11" s="840" t="s">
        <v>1868</v>
      </c>
      <c r="B11" s="840"/>
      <c r="C11" s="840" t="s">
        <v>1869</v>
      </c>
      <c r="D11" s="840"/>
      <c r="E11" s="840"/>
      <c r="F11" s="981"/>
      <c r="G11" s="981"/>
      <c r="H11" s="981"/>
    </row>
    <row customHeight="1" ht="54">
      <c r="A12" s="840" t="s">
        <v>1870</v>
      </c>
      <c r="B12" s="840"/>
      <c r="C12" s="840" t="s">
        <v>1871</v>
      </c>
      <c r="D12" s="840"/>
      <c r="E12" s="840"/>
      <c r="F12" s="981"/>
      <c r="G12" s="981"/>
      <c r="H12" s="981"/>
    </row>
    <row customHeight="1" ht="45">
      <c r="A13" s="840" t="s">
        <v>1872</v>
      </c>
      <c r="B13" s="840"/>
      <c r="C13" s="840" t="s">
        <v>1873</v>
      </c>
      <c r="D13" s="840"/>
      <c r="E13" s="840"/>
      <c r="F13" s="981"/>
      <c r="G13" s="981"/>
      <c r="H13" s="981"/>
    </row>
    <row customHeight="1" ht="117">
      <c r="A14" s="840" t="s">
        <v>1874</v>
      </c>
      <c r="B14" s="840"/>
      <c r="C14" s="840" t="s">
        <v>1875</v>
      </c>
      <c r="D14" s="840"/>
      <c r="E14" s="840"/>
      <c r="F14" s="981"/>
      <c r="G14" s="981"/>
      <c r="H14" s="981"/>
    </row>
    <row customHeight="1" ht="117">
      <c r="A15" s="840" t="s">
        <v>1876</v>
      </c>
      <c r="B15" s="840"/>
      <c r="C15" s="840" t="s">
        <v>1877</v>
      </c>
      <c r="D15" s="840"/>
      <c r="E15" s="840"/>
      <c r="F15" s="981"/>
      <c r="G15" s="981"/>
      <c r="H15" s="981"/>
    </row>
    <row customHeight="1" ht="63">
      <c r="A16" s="840" t="s">
        <v>1878</v>
      </c>
      <c r="B16" s="840"/>
      <c r="C16" s="840" t="s">
        <v>1879</v>
      </c>
      <c r="D16" s="840"/>
      <c r="E16" s="840"/>
      <c r="F16" s="981"/>
      <c r="G16" s="981"/>
      <c r="H16" s="981"/>
    </row>
    <row customHeight="1" ht="54">
      <c r="A17" s="840" t="s">
        <v>1880</v>
      </c>
      <c r="B17" s="840"/>
      <c r="C17" s="979" t="s">
        <v>1881</v>
      </c>
      <c r="D17" s="840"/>
      <c r="E17" s="840"/>
      <c r="F17" s="981"/>
      <c r="G17" s="981"/>
      <c r="H17" s="981"/>
    </row>
    <row customHeight="1" ht="27">
      <c r="A18" s="840" t="s">
        <v>1882</v>
      </c>
      <c r="B18" s="840"/>
      <c r="C18" s="979" t="s">
        <v>1883</v>
      </c>
      <c r="D18" s="840"/>
      <c r="E18" s="840"/>
      <c r="F18" s="981"/>
      <c r="G18" s="981"/>
      <c r="H18" s="981"/>
    </row>
    <row customHeight="1" ht="54">
      <c r="A19" s="840" t="s">
        <v>1884</v>
      </c>
      <c r="B19" s="840"/>
      <c r="C19" s="979" t="s">
        <v>1885</v>
      </c>
      <c r="D19" s="840"/>
      <c r="E19" s="840"/>
      <c r="F19" s="981"/>
      <c r="G19" s="981"/>
      <c r="H19" s="981"/>
    </row>
    <row customHeight="1" ht="36">
      <c r="A20" s="840" t="s">
        <v>1886</v>
      </c>
      <c r="B20" s="840"/>
      <c r="C20" s="979" t="s">
        <v>1887</v>
      </c>
      <c r="D20" s="840"/>
      <c r="E20" s="840"/>
      <c r="F20" s="981"/>
      <c r="G20" s="981"/>
      <c r="H20" s="981"/>
    </row>
    <row customHeight="1" ht="36">
      <c r="A21" s="840" t="s">
        <v>1888</v>
      </c>
      <c r="B21" s="840"/>
      <c r="C21" s="979" t="s">
        <v>1889</v>
      </c>
      <c r="D21" s="840"/>
      <c r="E21" s="840"/>
      <c r="F21" s="981"/>
      <c r="G21" s="981"/>
      <c r="H21" s="981"/>
    </row>
    <row customHeight="1" ht="27">
      <c r="A22" s="840" t="s">
        <v>1890</v>
      </c>
      <c r="B22" s="840"/>
      <c r="C22" s="979" t="s">
        <v>1891</v>
      </c>
      <c r="D22" s="840"/>
      <c r="E22" s="840"/>
      <c r="F22" s="981"/>
      <c r="G22" s="981"/>
      <c r="H22" s="981"/>
    </row>
    <row customHeight="1" ht="36">
      <c r="A23" s="840" t="s">
        <v>1892</v>
      </c>
      <c r="B23" s="840"/>
      <c r="C23" s="979" t="s">
        <v>1893</v>
      </c>
      <c r="D23" s="840"/>
      <c r="E23" s="840"/>
      <c r="F23" s="981"/>
      <c r="G23" s="981"/>
      <c r="H23" s="981"/>
    </row>
    <row customHeight="1" ht="28.5">
      <c r="A24" s="840" t="s">
        <v>1894</v>
      </c>
      <c r="B24" s="840"/>
      <c r="C24" s="979" t="s">
        <v>1895</v>
      </c>
      <c r="D24" s="840"/>
      <c r="E24" s="840"/>
      <c r="F24" s="981"/>
      <c r="G24" s="981"/>
      <c r="H24" s="981"/>
    </row>
    <row customHeight="1" ht="36">
      <c r="A25" s="840" t="s">
        <v>1896</v>
      </c>
      <c r="B25" s="840"/>
      <c r="C25" s="979" t="s">
        <v>1897</v>
      </c>
      <c r="D25" s="840"/>
      <c r="E25" s="840"/>
      <c r="F25" s="981"/>
      <c r="G25" s="981"/>
      <c r="H25" s="981"/>
    </row>
    <row customHeight="1" ht="27">
      <c r="A26" s="840" t="s">
        <v>1898</v>
      </c>
      <c r="B26" s="840"/>
      <c r="C26" s="979" t="s">
        <v>1899</v>
      </c>
      <c r="D26" s="840"/>
      <c r="E26" s="840"/>
      <c r="F26" s="981"/>
      <c r="G26" s="981"/>
      <c r="H26" s="981"/>
    </row>
    <row customHeight="1" ht="36">
      <c r="A27" s="840" t="s">
        <v>1900</v>
      </c>
      <c r="B27" s="840"/>
      <c r="C27" s="979" t="s">
        <v>1901</v>
      </c>
      <c r="D27" s="840"/>
      <c r="E27" s="840"/>
      <c r="F27" s="981"/>
      <c r="G27" s="981"/>
      <c r="H27" s="981"/>
    </row>
    <row customHeight="1" ht="28.5">
      <c r="A28" s="840" t="s">
        <v>1902</v>
      </c>
      <c r="B28" s="840"/>
      <c r="C28" s="979" t="s">
        <v>1903</v>
      </c>
      <c r="D28" s="840"/>
      <c r="E28" s="840"/>
      <c r="F28" s="981"/>
      <c r="G28" s="981"/>
      <c r="H28" s="981"/>
    </row>
    <row customHeight="1" ht="126">
      <c r="A29" s="840" t="s">
        <v>1904</v>
      </c>
      <c r="B29" s="840" t="s">
        <v>1571</v>
      </c>
      <c r="C29" s="979"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0" t="s">
        <v>1905</v>
      </c>
      <c r="E29" s="84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1"/>
      <c r="G29" s="981"/>
      <c r="H29" s="840" t="s">
        <v>1906</v>
      </c>
    </row>
    <row customHeight="1" ht="36">
      <c r="A30" s="840" t="s">
        <v>1907</v>
      </c>
      <c r="B30" s="840"/>
      <c r="C30" s="979"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0" t="s">
        <v>1908</v>
      </c>
      <c r="E30" s="84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1"/>
      <c r="G30" s="981"/>
      <c r="H30" s="981"/>
    </row>
    <row customHeight="1" ht="54">
      <c r="A31" s="840" t="s">
        <v>1909</v>
      </c>
      <c r="B31" s="840"/>
      <c r="C31" s="979"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0" t="s">
        <v>1910</v>
      </c>
      <c r="E31" s="84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1"/>
      <c r="G31" s="981"/>
      <c r="H31" s="981"/>
    </row>
    <row customHeight="1" ht="198">
      <c r="A32" s="840" t="s">
        <v>1911</v>
      </c>
      <c r="B32" s="840"/>
      <c r="C32" s="979"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0" t="s">
        <v>1912</v>
      </c>
      <c r="E32" s="84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1"/>
      <c r="G32" s="981"/>
      <c r="H32" s="840" t="s">
        <v>1913</v>
      </c>
    </row>
    <row customHeight="1" ht="9">
      <c r="A33" s="840"/>
      <c r="B33" s="840"/>
      <c r="C33" s="979"/>
      <c r="D33" s="840"/>
      <c r="E33" s="840"/>
      <c r="F33" s="981"/>
      <c r="G33" s="981"/>
      <c r="H33" s="981"/>
    </row>
    <row customHeight="1" ht="9">
      <c r="A34" s="840"/>
      <c r="B34" s="840" t="s">
        <v>1507</v>
      </c>
      <c r="C34" s="979">
        <f>INDEX(TEMPLATE_NAME_FORM_LIST,B34,MATCH(TEMPLATE_SPHERE,TEMPLATE_SPHERE_LIST,0))</f>
        <v>0</v>
      </c>
      <c r="D34" s="840"/>
      <c r="E34" s="840"/>
      <c r="F34" s="981"/>
      <c r="G34" s="981"/>
      <c r="H34" s="981"/>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80C020E-14E5-7F64-9B99-18A0F8EA8A58}"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834" width="9.140625"/>
    <col min="3" max="7" style="836" width="8.00390625" customWidth="1"/>
    <col min="8" max="12" style="836" width="8.57421875" customWidth="1"/>
    <col min="13" max="14" style="836" width="27.7109375" customWidth="1"/>
    <col min="15" max="19" style="836" width="5.140625" customWidth="1"/>
    <col min="20" max="24" style="836" width="27.7109375" customWidth="1"/>
    <col min="25" max="25" style="996" width="1.8515625" customWidth="1"/>
    <col min="26" max="26" style="834" width="27.7109375" customWidth="1"/>
    <col min="27" max="27" style="845" width="27.7109375" customWidth="1"/>
    <col min="28" max="29" style="834" width="27.7109375" customWidth="1"/>
    <col min="30" max="30" style="834" width="3.8515625" customWidth="1"/>
    <col min="31" max="34" style="834" width="9.140625"/>
  </cols>
  <sheetData>
    <row s="833" customFormat="1" customHeight="1" ht="18">
      <c r="A1" s="892"/>
      <c r="B1" s="892"/>
      <c r="C1" s="892" t="s">
        <v>1914</v>
      </c>
      <c r="D1" s="892"/>
      <c r="E1" s="892"/>
      <c r="F1" s="892"/>
      <c r="G1" s="892"/>
      <c r="H1" s="892" t="s">
        <v>1915</v>
      </c>
      <c r="I1" s="892"/>
      <c r="J1" s="892"/>
      <c r="K1" s="892"/>
      <c r="L1" s="892"/>
      <c r="M1" s="892" t="s">
        <v>1916</v>
      </c>
      <c r="N1" s="892" t="s">
        <v>1917</v>
      </c>
      <c r="O1" s="2406" t="s">
        <v>1918</v>
      </c>
      <c r="P1" s="2406"/>
      <c r="Q1" s="2406"/>
      <c r="R1" s="2406"/>
      <c r="S1" s="2406"/>
      <c r="T1" s="2406" t="s">
        <v>1916</v>
      </c>
      <c r="U1" s="2406"/>
      <c r="V1" s="2406"/>
      <c r="W1" s="2406"/>
      <c r="X1" s="2406"/>
      <c r="Y1" s="994"/>
      <c r="Z1" s="2406" t="s">
        <v>1919</v>
      </c>
      <c r="AA1" s="2406"/>
      <c r="AB1" s="2406"/>
      <c r="AC1" s="2406"/>
      <c r="AD1" s="2406"/>
    </row>
    <row customHeight="1" ht="18">
      <c r="A2" s="840"/>
      <c r="B2" s="840"/>
      <c r="C2" s="835" t="s">
        <v>721</v>
      </c>
      <c r="D2" s="835" t="s">
        <v>767</v>
      </c>
      <c r="E2" s="835" t="s">
        <v>819</v>
      </c>
      <c r="F2" s="835" t="s">
        <v>805</v>
      </c>
      <c r="G2" s="835" t="s">
        <v>1619</v>
      </c>
      <c r="H2" s="837"/>
      <c r="I2" s="837"/>
      <c r="J2" s="837"/>
      <c r="K2" s="837"/>
      <c r="L2" s="837"/>
      <c r="M2" s="837"/>
      <c r="N2" s="837"/>
      <c r="O2" s="835" t="s">
        <v>721</v>
      </c>
      <c r="P2" s="835" t="s">
        <v>767</v>
      </c>
      <c r="Q2" s="835" t="s">
        <v>805</v>
      </c>
      <c r="R2" s="835" t="s">
        <v>819</v>
      </c>
      <c r="S2" s="835" t="s">
        <v>1619</v>
      </c>
      <c r="T2" s="835" t="s">
        <v>721</v>
      </c>
      <c r="U2" s="835" t="s">
        <v>767</v>
      </c>
      <c r="V2" s="835" t="s">
        <v>805</v>
      </c>
      <c r="W2" s="835" t="s">
        <v>819</v>
      </c>
      <c r="X2" s="835" t="s">
        <v>1619</v>
      </c>
      <c r="Y2" s="835"/>
      <c r="Z2" s="835" t="s">
        <v>721</v>
      </c>
      <c r="AA2" s="844" t="s">
        <v>767</v>
      </c>
      <c r="AB2" s="835" t="s">
        <v>805</v>
      </c>
      <c r="AC2" s="835" t="s">
        <v>819</v>
      </c>
      <c r="AD2" s="835" t="s">
        <v>1619</v>
      </c>
    </row>
    <row customHeight="1" ht="162">
      <c r="A3" s="839" t="s">
        <v>22</v>
      </c>
      <c r="B3" s="839"/>
      <c r="C3" s="2410" t="s">
        <v>1920</v>
      </c>
      <c r="D3" s="2411"/>
      <c r="E3" s="2411"/>
      <c r="F3" s="2412"/>
      <c r="G3" s="837"/>
      <c r="H3" s="837"/>
      <c r="I3" s="837"/>
      <c r="J3" s="837"/>
      <c r="K3" s="837"/>
      <c r="L3" s="837"/>
      <c r="M3" s="837"/>
      <c r="N3" s="838"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37"/>
      <c r="P3" s="837"/>
      <c r="Q3" s="837"/>
      <c r="R3" s="837"/>
      <c r="S3" s="837"/>
      <c r="T3" s="837"/>
      <c r="U3" s="837"/>
      <c r="V3" s="837"/>
      <c r="W3" s="837"/>
      <c r="X3" s="837"/>
      <c r="Y3" s="995"/>
      <c r="Z3" s="840" t="s">
        <v>1921</v>
      </c>
      <c r="AA3" s="837" t="s">
        <v>1922</v>
      </c>
      <c r="AB3" s="840" t="s">
        <v>1923</v>
      </c>
      <c r="AC3" s="840" t="s">
        <v>1924</v>
      </c>
      <c r="AD3" s="840"/>
      <c r="AG3" s="840"/>
      <c r="AH3" s="840"/>
    </row>
    <row customHeight="1" ht="9">
      <c r="A4" s="839"/>
      <c r="B4" s="839"/>
      <c r="C4" s="837"/>
      <c r="D4" s="837"/>
      <c r="E4" s="837"/>
      <c r="F4" s="837"/>
      <c r="G4" s="837"/>
      <c r="H4" s="837"/>
      <c r="I4" s="837"/>
      <c r="J4" s="837"/>
      <c r="K4" s="837"/>
      <c r="L4" s="837"/>
      <c r="M4" s="837"/>
      <c r="N4" s="837"/>
      <c r="O4" s="837"/>
      <c r="P4" s="837"/>
      <c r="Q4" s="837"/>
      <c r="R4" s="837"/>
      <c r="S4" s="837"/>
      <c r="T4" s="837"/>
      <c r="U4" s="837"/>
      <c r="V4" s="837"/>
      <c r="W4" s="837"/>
      <c r="X4" s="837"/>
      <c r="Y4" s="995"/>
      <c r="Z4" s="840"/>
      <c r="AA4" s="843"/>
      <c r="AB4" s="840"/>
      <c r="AC4" s="840"/>
      <c r="AD4" s="840"/>
    </row>
    <row customHeight="1" ht="9">
      <c r="A5" s="839"/>
      <c r="B5" s="839"/>
      <c r="C5" s="837"/>
      <c r="D5" s="837"/>
      <c r="E5" s="837"/>
      <c r="F5" s="837"/>
      <c r="G5" s="837"/>
      <c r="H5" s="837"/>
      <c r="I5" s="837"/>
      <c r="J5" s="837"/>
      <c r="K5" s="837"/>
      <c r="L5" s="837"/>
      <c r="M5" s="837"/>
      <c r="N5" s="837"/>
      <c r="O5" s="837"/>
      <c r="P5" s="837"/>
      <c r="Q5" s="837"/>
      <c r="R5" s="837"/>
      <c r="S5" s="837"/>
      <c r="T5" s="837"/>
      <c r="U5" s="837"/>
      <c r="V5" s="837"/>
      <c r="W5" s="837"/>
      <c r="X5" s="837"/>
      <c r="Y5" s="995"/>
      <c r="Z5" s="840"/>
      <c r="AA5" s="843"/>
      <c r="AB5" s="840"/>
      <c r="AC5" s="840"/>
      <c r="AD5" s="840"/>
    </row>
    <row customHeight="1" ht="9">
      <c r="A6" s="839"/>
      <c r="B6" s="839"/>
      <c r="C6" s="837"/>
      <c r="D6" s="837"/>
      <c r="E6" s="837"/>
      <c r="F6" s="837"/>
      <c r="G6" s="837"/>
      <c r="H6" s="837"/>
      <c r="I6" s="837"/>
      <c r="J6" s="837"/>
      <c r="K6" s="837"/>
      <c r="L6" s="837"/>
      <c r="M6" s="837"/>
      <c r="N6" s="837"/>
      <c r="O6" s="837"/>
      <c r="P6" s="837"/>
      <c r="Q6" s="837"/>
      <c r="R6" s="837"/>
      <c r="S6" s="837"/>
      <c r="T6" s="837"/>
      <c r="U6" s="837"/>
      <c r="V6" s="837"/>
      <c r="W6" s="837"/>
      <c r="X6" s="837"/>
      <c r="Y6" s="995"/>
      <c r="Z6" s="840"/>
      <c r="AA6" s="843"/>
      <c r="AB6" s="840"/>
      <c r="AC6" s="840"/>
      <c r="AD6" s="840"/>
    </row>
    <row customHeight="1" ht="9">
      <c r="A7" s="839"/>
      <c r="B7" s="839"/>
      <c r="C7" s="837"/>
      <c r="D7" s="837"/>
      <c r="E7" s="837"/>
      <c r="F7" s="837"/>
      <c r="G7" s="837"/>
      <c r="H7" s="837"/>
      <c r="I7" s="837"/>
      <c r="J7" s="837"/>
      <c r="K7" s="837"/>
      <c r="L7" s="837"/>
      <c r="M7" s="837"/>
      <c r="N7" s="837"/>
      <c r="O7" s="837"/>
      <c r="P7" s="837"/>
      <c r="Q7" s="837"/>
      <c r="R7" s="837"/>
      <c r="S7" s="837"/>
      <c r="T7" s="837"/>
      <c r="U7" s="837"/>
      <c r="V7" s="837"/>
      <c r="W7" s="837"/>
      <c r="X7" s="837"/>
      <c r="Y7" s="995"/>
      <c r="Z7" s="840"/>
      <c r="AA7" s="843"/>
      <c r="AB7" s="840"/>
      <c r="AC7" s="840"/>
      <c r="AD7" s="840"/>
    </row>
    <row customHeight="1" ht="9">
      <c r="A8" s="839"/>
      <c r="B8" s="839"/>
      <c r="C8" s="837"/>
      <c r="D8" s="837"/>
      <c r="E8" s="837"/>
      <c r="F8" s="837"/>
      <c r="G8" s="837"/>
      <c r="H8" s="837"/>
      <c r="I8" s="837"/>
      <c r="J8" s="837"/>
      <c r="K8" s="837"/>
      <c r="L8" s="837"/>
      <c r="M8" s="837"/>
      <c r="N8" s="837"/>
      <c r="O8" s="837"/>
      <c r="P8" s="837"/>
      <c r="Q8" s="837"/>
      <c r="R8" s="837"/>
      <c r="S8" s="837"/>
      <c r="T8" s="837"/>
      <c r="U8" s="837"/>
      <c r="V8" s="837"/>
      <c r="W8" s="837"/>
      <c r="X8" s="837"/>
      <c r="Y8" s="995"/>
      <c r="Z8" s="840"/>
      <c r="AA8" s="843"/>
      <c r="AB8" s="840"/>
      <c r="AC8" s="840"/>
      <c r="AD8" s="840"/>
    </row>
    <row customHeight="1" ht="9">
      <c r="A9" s="839"/>
      <c r="B9" s="839"/>
      <c r="C9" s="837"/>
      <c r="D9" s="837"/>
      <c r="E9" s="837"/>
      <c r="F9" s="837"/>
      <c r="G9" s="837"/>
      <c r="H9" s="837"/>
      <c r="I9" s="837"/>
      <c r="J9" s="837"/>
      <c r="K9" s="837"/>
      <c r="L9" s="837"/>
      <c r="M9" s="837"/>
      <c r="N9" s="837"/>
      <c r="O9" s="837"/>
      <c r="P9" s="837"/>
      <c r="Q9" s="837"/>
      <c r="R9" s="837"/>
      <c r="S9" s="837"/>
      <c r="T9" s="837"/>
      <c r="U9" s="837"/>
      <c r="V9" s="837"/>
      <c r="W9" s="837"/>
      <c r="X9" s="837"/>
      <c r="Y9" s="995"/>
      <c r="Z9" s="840"/>
      <c r="AA9" s="843"/>
      <c r="AB9" s="840"/>
      <c r="AC9" s="840"/>
      <c r="AD9" s="840"/>
    </row>
    <row customHeight="1" ht="9">
      <c r="A10" s="893"/>
      <c r="B10" s="893"/>
      <c r="C10" s="893"/>
      <c r="D10" s="893"/>
      <c r="E10" s="893"/>
      <c r="F10" s="893"/>
      <c r="G10" s="893"/>
      <c r="H10" s="893"/>
      <c r="I10" s="893"/>
      <c r="J10" s="893"/>
      <c r="K10" s="893"/>
      <c r="L10" s="893"/>
      <c r="M10" s="893"/>
      <c r="N10" s="893"/>
      <c r="O10" s="893"/>
      <c r="P10" s="893"/>
      <c r="Q10" s="893"/>
      <c r="R10" s="893"/>
      <c r="S10" s="893"/>
      <c r="T10" s="893"/>
      <c r="U10" s="893"/>
      <c r="V10" s="893"/>
      <c r="W10" s="893"/>
      <c r="X10" s="893"/>
      <c r="Y10" s="893"/>
      <c r="Z10" s="893"/>
      <c r="AA10" s="893"/>
      <c r="AB10" s="893"/>
      <c r="AC10" s="893"/>
      <c r="AD10" s="893"/>
    </row>
    <row customHeight="1" ht="45">
      <c r="A11" s="2407" t="s">
        <v>29</v>
      </c>
      <c r="B11" s="893">
        <v>1</v>
      </c>
      <c r="C11" s="2413" t="s">
        <v>1558</v>
      </c>
      <c r="D11" s="2413" t="s">
        <v>1554</v>
      </c>
      <c r="E11" s="2413" t="s">
        <v>1652</v>
      </c>
      <c r="F11" s="2413" t="s">
        <v>1925</v>
      </c>
      <c r="G11" s="2413"/>
      <c r="H11" s="892" t="s">
        <v>1926</v>
      </c>
      <c r="I11" s="892"/>
      <c r="J11" s="892"/>
      <c r="K11" s="892"/>
      <c r="L11" s="892"/>
      <c r="M11" s="838" t="str">
        <f>IF(TEMPLATE_SPHERE="HEAT",T11,U11)</f>
        <v>Количество поданных заявок</v>
      </c>
      <c r="N11" s="838"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37"/>
      <c r="P11" s="837"/>
      <c r="Q11" s="837"/>
      <c r="R11" s="837"/>
      <c r="S11" s="837"/>
      <c r="T11" s="837" t="s">
        <v>1927</v>
      </c>
      <c r="U11" s="837" t="s">
        <v>1928</v>
      </c>
      <c r="V11" s="837"/>
      <c r="W11" s="837"/>
      <c r="X11" s="837"/>
      <c r="Y11" s="995"/>
      <c r="Z11" s="840" t="s">
        <v>1929</v>
      </c>
      <c r="AA11" s="84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0"/>
      <c r="AC11" s="840"/>
      <c r="AD11" s="840"/>
    </row>
    <row customHeight="1" ht="45">
      <c r="A12" s="2407"/>
      <c r="B12" s="893">
        <v>2</v>
      </c>
      <c r="C12" s="2414"/>
      <c r="D12" s="2414"/>
      <c r="E12" s="2414"/>
      <c r="F12" s="2414"/>
      <c r="G12" s="2414"/>
      <c r="H12" s="892" t="s">
        <v>1930</v>
      </c>
      <c r="I12" s="892"/>
      <c r="J12" s="892"/>
      <c r="K12" s="892"/>
      <c r="L12" s="892"/>
      <c r="M12" s="838" t="str">
        <f>IF(TEMPLATE_SPHERE="HEAT",T12,U12)</f>
        <v>Количество рассмотренных заявок</v>
      </c>
      <c r="N12" s="838"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37"/>
      <c r="P12" s="837"/>
      <c r="Q12" s="837"/>
      <c r="R12" s="837"/>
      <c r="S12" s="837"/>
      <c r="T12" s="837" t="s">
        <v>1931</v>
      </c>
      <c r="U12" s="837" t="s">
        <v>1932</v>
      </c>
      <c r="V12" s="837"/>
      <c r="W12" s="837"/>
      <c r="X12" s="837"/>
      <c r="Y12" s="995"/>
      <c r="Z12" s="840" t="s">
        <v>1933</v>
      </c>
      <c r="AA12" s="84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0"/>
      <c r="AC12" s="840"/>
      <c r="AD12" s="840"/>
    </row>
    <row customHeight="1" ht="72">
      <c r="A13" s="2407"/>
      <c r="B13" s="893">
        <v>3</v>
      </c>
      <c r="C13" s="2414"/>
      <c r="D13" s="2414"/>
      <c r="E13" s="2414"/>
      <c r="F13" s="2414"/>
      <c r="G13" s="2414"/>
      <c r="H13" s="2406" t="s">
        <v>1934</v>
      </c>
      <c r="I13" s="892"/>
      <c r="J13" s="892"/>
      <c r="K13" s="892"/>
      <c r="L13" s="892"/>
      <c r="M13" s="838"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38" t="str">
        <f>IF(TEMPLATE_SPHERE="HEAT",Z13,AA13)</f>
        <v>Указывается количество заявок с решением об отказе в течение отчетного квартала.</v>
      </c>
      <c r="O13" s="837"/>
      <c r="P13" s="838"/>
      <c r="Q13" s="838"/>
      <c r="R13" s="838"/>
      <c r="S13" s="837"/>
      <c r="T13" s="837" t="s">
        <v>1935</v>
      </c>
      <c r="U13" s="838" t="s">
        <v>1936</v>
      </c>
      <c r="V13" s="838"/>
      <c r="W13" s="838"/>
      <c r="X13" s="837"/>
      <c r="Y13" s="995"/>
      <c r="Z13" s="840" t="s">
        <v>1937</v>
      </c>
      <c r="AA13" s="84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0"/>
      <c r="AC13" s="840"/>
      <c r="AD13" s="840"/>
    </row>
    <row customHeight="1" ht="45">
      <c r="A14" s="2407"/>
      <c r="B14" s="893">
        <v>4</v>
      </c>
      <c r="C14" s="2414"/>
      <c r="D14" s="2414"/>
      <c r="E14" s="2414"/>
      <c r="F14" s="2414"/>
      <c r="G14" s="2414"/>
      <c r="H14" s="2406"/>
      <c r="I14" s="895"/>
      <c r="J14" s="895"/>
      <c r="K14" s="895"/>
      <c r="L14" s="895"/>
      <c r="M14" s="841" t="str">
        <f>IF(TEMPLATE_SPHERE="HEAT",T14,U14)</f>
        <v>Причины отказа в заключении договора о подключении (технологическом присоединении) к системе теплоснабжения</v>
      </c>
      <c r="N14" s="838"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37"/>
      <c r="P14" s="838"/>
      <c r="Q14" s="838"/>
      <c r="R14" s="838"/>
      <c r="S14" s="837"/>
      <c r="T14" s="837" t="s">
        <v>1938</v>
      </c>
      <c r="U14" s="83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38"/>
      <c r="W14" s="838"/>
      <c r="X14" s="837"/>
      <c r="Y14" s="995"/>
      <c r="Z14" s="840" t="s">
        <v>1939</v>
      </c>
      <c r="AA14" s="843" t="s">
        <v>1939</v>
      </c>
      <c r="AB14" s="840"/>
      <c r="AC14" s="840"/>
      <c r="AD14" s="840"/>
    </row>
    <row customHeight="1" ht="108">
      <c r="A15" s="2407"/>
      <c r="B15" s="893">
        <v>5</v>
      </c>
      <c r="C15" s="2414"/>
      <c r="D15" s="2414"/>
      <c r="E15" s="2414"/>
      <c r="F15" s="2414"/>
      <c r="G15" s="2414"/>
      <c r="H15" s="2408" t="s">
        <v>1940</v>
      </c>
      <c r="I15" s="894"/>
      <c r="J15" s="894"/>
      <c r="K15" s="894"/>
      <c r="L15" s="894"/>
      <c r="M15" s="843" t="str">
        <f>IF(TEMPLATE_SPHERE="HEAT",T15,U15)</f>
        <v>Резерв мощности источников тепловой энергии, входящих в систему теплоснабжения, в течение одного квартала, в том числе:</v>
      </c>
      <c r="N15" s="842"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37"/>
      <c r="P15" s="838"/>
      <c r="Q15" s="838"/>
      <c r="R15" s="838"/>
      <c r="S15" s="837"/>
      <c r="T15" s="837" t="s">
        <v>1941</v>
      </c>
      <c r="U15" s="83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38"/>
      <c r="W15" s="838"/>
      <c r="X15" s="837"/>
      <c r="Y15" s="995"/>
      <c r="Z15" s="840" t="s">
        <v>1942</v>
      </c>
      <c r="AA15" s="84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0"/>
      <c r="AC15" s="840"/>
      <c r="AD15" s="840"/>
    </row>
    <row customHeight="1" ht="108">
      <c r="A16" s="893"/>
      <c r="B16" s="893">
        <v>6</v>
      </c>
      <c r="C16" s="2415"/>
      <c r="D16" s="2415"/>
      <c r="E16" s="2415"/>
      <c r="F16" s="2415"/>
      <c r="G16" s="2415"/>
      <c r="H16" s="2409"/>
      <c r="I16" s="957"/>
      <c r="J16" s="957"/>
      <c r="K16" s="957"/>
      <c r="L16" s="957"/>
      <c r="M16" s="886"/>
      <c r="N16" s="842"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37"/>
      <c r="P16" s="838"/>
      <c r="Q16" s="838"/>
      <c r="R16" s="838"/>
      <c r="S16" s="837"/>
      <c r="T16" s="837"/>
      <c r="U16" s="838"/>
      <c r="V16" s="838"/>
      <c r="W16" s="838"/>
      <c r="X16" s="837"/>
      <c r="Y16" s="995"/>
      <c r="Z16" s="840" t="s">
        <v>1942</v>
      </c>
      <c r="AA16" s="84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0"/>
      <c r="AC16" s="840"/>
      <c r="AD16" s="840"/>
    </row>
    <row customHeight="1" ht="9">
      <c r="A17" s="893"/>
      <c r="B17" s="893"/>
      <c r="C17" s="893">
        <v>22</v>
      </c>
      <c r="D17" s="893">
        <v>21</v>
      </c>
      <c r="E17" s="893">
        <v>42</v>
      </c>
      <c r="F17" s="893">
        <v>63</v>
      </c>
      <c r="G17" s="893"/>
      <c r="H17" s="893"/>
      <c r="I17" s="893"/>
      <c r="J17" s="893"/>
      <c r="K17" s="893"/>
      <c r="L17" s="893"/>
      <c r="M17" s="893"/>
      <c r="N17" s="893"/>
      <c r="O17" s="893"/>
      <c r="P17" s="893"/>
      <c r="Q17" s="893"/>
      <c r="R17" s="893"/>
      <c r="S17" s="893"/>
      <c r="T17" s="893"/>
      <c r="U17" s="893"/>
      <c r="V17" s="893"/>
      <c r="W17" s="893"/>
      <c r="X17" s="893"/>
      <c r="Y17" s="893"/>
      <c r="Z17" s="893"/>
      <c r="AA17" s="893"/>
      <c r="AB17" s="893"/>
      <c r="AC17" s="893"/>
      <c r="AD17" s="893"/>
    </row>
    <row customHeight="1" ht="27">
      <c r="A18" s="839" t="s">
        <v>1655</v>
      </c>
      <c r="B18" s="893">
        <v>1</v>
      </c>
      <c r="C18" s="837" t="s">
        <v>1926</v>
      </c>
      <c r="D18" s="962" t="s">
        <v>1926</v>
      </c>
      <c r="E18" s="837" t="s">
        <v>1926</v>
      </c>
      <c r="F18" s="837" t="s">
        <v>1926</v>
      </c>
      <c r="G18" s="837"/>
      <c r="H18" s="997"/>
      <c r="I18" s="1000">
        <f>INDEX(TEMPLATE_NUMBER_POINT_FHD,B18,MATCH(TEMPLATE_SPHERE,TEMPLATE_SPHERE_LIST_FOR_NOTE,0))</f>
        <v>1</v>
      </c>
      <c r="J18" s="1000" t="str">
        <f>INDEX(TEMPLATE_DATA_POINT_FHD,B18,MATCH(TEMPLATE_SPHERE,TEMPLATE_SPHERE_LIST_FOR_NOTE,0))</f>
        <v>Выручка от регулируемого вида деятельности с распределением по видам деятельности</v>
      </c>
      <c r="K18" s="1000"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38">
        <f>IF(I18=0,"",I18)</f>
        <v>1</v>
      </c>
      <c r="M18" s="838" t="str">
        <f>IF(J18=0,"",J18)</f>
        <v>Выручка от регулируемого вида деятельности с распределением по видам деятельности</v>
      </c>
      <c r="N18" s="838" t="str">
        <f>IF(K18=0,"",K18)</f>
        <v>Указывается выручка от регулируемого вида деятельности с распределением по видам деятельности.</v>
      </c>
      <c r="O18" s="952">
        <v>1</v>
      </c>
      <c r="P18" s="952">
        <v>1</v>
      </c>
      <c r="Q18" s="952">
        <v>1</v>
      </c>
      <c r="R18" s="952">
        <v>1</v>
      </c>
      <c r="S18" s="952"/>
      <c r="T18" s="959" t="s">
        <v>1943</v>
      </c>
      <c r="U18" s="840" t="s">
        <v>1944</v>
      </c>
      <c r="V18" s="840" t="s">
        <v>1945</v>
      </c>
      <c r="W18" s="840" t="s">
        <v>1946</v>
      </c>
      <c r="X18" s="837"/>
      <c r="Y18" s="995"/>
      <c r="Z18" s="840" t="s">
        <v>1947</v>
      </c>
      <c r="AA18" s="843" t="s">
        <v>1948</v>
      </c>
      <c r="AB18" s="843" t="s">
        <v>1948</v>
      </c>
      <c r="AC18" s="843" t="s">
        <v>1948</v>
      </c>
      <c r="AD18" s="840"/>
    </row>
    <row customHeight="1" ht="36">
      <c r="A19" s="839"/>
      <c r="B19" s="893">
        <v>2</v>
      </c>
      <c r="C19" s="837" t="s">
        <v>1930</v>
      </c>
      <c r="D19" s="962" t="s">
        <v>1930</v>
      </c>
      <c r="E19" s="837" t="s">
        <v>1930</v>
      </c>
      <c r="F19" s="837" t="s">
        <v>1930</v>
      </c>
      <c r="G19" s="837"/>
      <c r="H19" s="997"/>
      <c r="I19" s="1000">
        <f>INDEX(TEMPLATE_NUMBER_POINT_FHD,B19,MATCH(TEMPLATE_SPHERE,TEMPLATE_SPHERE_LIST_FOR_NOTE,0))</f>
        <v>2</v>
      </c>
      <c r="J19" s="1000"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0" t="str">
        <f>INDEX(TEMPLATE_NOTE_POINT_FHD,B19,MATCH(TEMPLATE_SPHERE,TEMPLATE_SPHERE_LIST_FOR_NOTE,0))</f>
        <v>Указывается суммарная себестоимость производимых товаров.</v>
      </c>
      <c r="L19" s="838">
        <f>IF(I19=0,"",I19)</f>
        <v>2</v>
      </c>
      <c r="M19" s="838" t="str">
        <f>IF(J19=0,"",J19)</f>
        <v>Себестоимость производимых товаров (оказываемых услуг) по регулируемому виду деятельности, включая:</v>
      </c>
      <c r="N19" s="838" t="str">
        <f>IF(K19=0,"",K19)</f>
        <v>Указывается суммарная себестоимость производимых товаров.</v>
      </c>
      <c r="O19" s="952">
        <v>2</v>
      </c>
      <c r="P19" s="952">
        <v>2</v>
      </c>
      <c r="Q19" s="952">
        <v>2</v>
      </c>
      <c r="R19" s="952">
        <v>2</v>
      </c>
      <c r="S19" s="952"/>
      <c r="T19" s="959" t="s">
        <v>1949</v>
      </c>
      <c r="U19" s="840" t="s">
        <v>1950</v>
      </c>
      <c r="V19" s="840" t="s">
        <v>1951</v>
      </c>
      <c r="W19" s="840" t="s">
        <v>1952</v>
      </c>
      <c r="X19" s="837"/>
      <c r="Y19" s="995"/>
      <c r="Z19" s="840" t="s">
        <v>1953</v>
      </c>
      <c r="AA19" s="843" t="s">
        <v>1953</v>
      </c>
      <c r="AB19" s="843" t="s">
        <v>1953</v>
      </c>
      <c r="AC19" s="843" t="s">
        <v>1953</v>
      </c>
      <c r="AD19" s="840"/>
    </row>
    <row customHeight="1" ht="27">
      <c r="A20" s="839"/>
      <c r="B20" s="893">
        <v>3</v>
      </c>
      <c r="C20" s="837">
        <v>1</v>
      </c>
      <c r="D20" s="962"/>
      <c r="E20" s="837"/>
      <c r="F20" s="837"/>
      <c r="G20" s="837"/>
      <c r="H20" s="997"/>
      <c r="I20" s="1000" t="str">
        <f>INDEX(TEMPLATE_NUMBER_POINT_FHD,B20,MATCH(TEMPLATE_SPHERE,TEMPLATE_SPHERE_LIST_FOR_NOTE,0))</f>
        <v>2.1</v>
      </c>
      <c r="J20" s="1000" t="str">
        <f>INDEX(TEMPLATE_DATA_POINT_FHD,B20,MATCH(TEMPLATE_SPHERE,TEMPLATE_SPHERE_LIST_FOR_NOTE,0))</f>
        <v>Расходы на приобретаемую тепловую энергию (мощность), теплоноситель</v>
      </c>
      <c r="K20" s="1000">
        <f>INDEX(TEMPLATE_NOTE_POINT_FHD,B20,MATCH(TEMPLATE_SPHERE,TEMPLATE_SPHERE_LIST_FOR_NOTE,0))</f>
        <v>0</v>
      </c>
      <c r="L20" s="838" t="str">
        <f>IF(I20=0,"",I20)</f>
        <v>2.1</v>
      </c>
      <c r="M20" s="838" t="str">
        <f>IF(J20=0,"",J20)</f>
        <v>Расходы на приобретаемую тепловую энергию (мощность), теплоноситель</v>
      </c>
      <c r="N20" s="838" t="str">
        <f>IF(K20=0,"",K20)</f>
        <v/>
      </c>
      <c r="O20" s="952" t="s">
        <v>621</v>
      </c>
      <c r="P20" s="952" t="s">
        <v>621</v>
      </c>
      <c r="Q20" s="952" t="s">
        <v>621</v>
      </c>
      <c r="R20" s="952" t="s">
        <v>621</v>
      </c>
      <c r="S20" s="952"/>
      <c r="T20" s="959" t="s">
        <v>1954</v>
      </c>
      <c r="U20" s="840" t="s">
        <v>1955</v>
      </c>
      <c r="V20" s="840" t="s">
        <v>1956</v>
      </c>
      <c r="W20" s="840" t="s">
        <v>1957</v>
      </c>
      <c r="X20" s="837"/>
      <c r="Y20" s="995"/>
      <c r="Z20" s="840"/>
      <c r="AA20" s="843"/>
      <c r="AB20" s="840"/>
      <c r="AC20" s="840"/>
      <c r="AD20" s="840"/>
    </row>
    <row customHeight="1" ht="36">
      <c r="A21" s="839"/>
      <c r="B21" s="893">
        <v>4</v>
      </c>
      <c r="C21" s="837">
        <v>2</v>
      </c>
      <c r="D21" s="962"/>
      <c r="E21" s="837"/>
      <c r="F21" s="837"/>
      <c r="G21" s="837"/>
      <c r="H21" s="997"/>
      <c r="I21" s="1000" t="str">
        <f>INDEX(TEMPLATE_NUMBER_POINT_FHD,B21,MATCH(TEMPLATE_SPHERE,TEMPLATE_SPHERE_LIST_FOR_NOTE,0))</f>
        <v>2.2</v>
      </c>
      <c r="J21" s="1000"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0" t="str">
        <f>INDEX(TEMPLATE_NOTE_POINT_FHD,B21,MATCH(TEMPLATE_SPHERE,TEMPLATE_SPHERE_LIST_FOR_NOTE,0))</f>
        <v>Указываются суммарные расходы на приобретение топлива всех видов.</v>
      </c>
      <c r="L21" s="838" t="str">
        <f>IF(I21=0,"",I21)</f>
        <v>2.2</v>
      </c>
      <c r="M21" s="838"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38" t="str">
        <f>IF(K21=0,"",K21)</f>
        <v>Указываются суммарные расходы на приобретение топлива всех видов.</v>
      </c>
      <c r="O21" s="952" t="s">
        <v>312</v>
      </c>
      <c r="P21" s="952"/>
      <c r="Q21" s="952"/>
      <c r="R21" s="952"/>
      <c r="S21" s="952"/>
      <c r="T21" s="959" t="s">
        <v>1958</v>
      </c>
      <c r="U21" s="840"/>
      <c r="V21" s="840"/>
      <c r="W21" s="840"/>
      <c r="X21" s="837"/>
      <c r="Y21" s="995"/>
      <c r="Z21" s="840" t="s">
        <v>1959</v>
      </c>
      <c r="AA21" s="843"/>
      <c r="AB21" s="840"/>
      <c r="AC21" s="840"/>
      <c r="AD21" s="840"/>
    </row>
    <row customHeight="1" ht="36">
      <c r="A22" s="839"/>
      <c r="B22" s="893">
        <v>5</v>
      </c>
      <c r="C22" s="837">
        <v>3</v>
      </c>
      <c r="D22" s="962"/>
      <c r="E22" s="837"/>
      <c r="F22" s="837"/>
      <c r="G22" s="885"/>
      <c r="H22" s="953"/>
      <c r="I22" s="1000">
        <f>INDEX(TEMPLATE_NUMBER_POINT_FHD,B22,MATCH(TEMPLATE_SPHERE,TEMPLATE_SPHERE_LIST_FOR_NOTE,0))</f>
        <v>0</v>
      </c>
      <c r="J22" s="1000">
        <f>INDEX(TEMPLATE_DATA_POINT_FHD,B22,MATCH(TEMPLATE_SPHERE,TEMPLATE_SPHERE_LIST_FOR_NOTE,0))</f>
        <v>0</v>
      </c>
      <c r="K22" s="1000">
        <f>INDEX(TEMPLATE_NOTE_POINT_FHD,B22,MATCH(TEMPLATE_SPHERE,TEMPLATE_SPHERE_LIST_FOR_NOTE,0))</f>
        <v>0</v>
      </c>
      <c r="L22" s="838" t="str">
        <f>IF(I22=0,"",I22)</f>
        <v/>
      </c>
      <c r="M22" s="838" t="str">
        <f>IF(J22=0,"",J22)</f>
        <v/>
      </c>
      <c r="N22" s="838" t="str">
        <f>IF(K22=0,"",K22)</f>
        <v/>
      </c>
      <c r="O22" s="952"/>
      <c r="P22" s="952"/>
      <c r="Q22" s="952" t="s">
        <v>312</v>
      </c>
      <c r="R22" s="952"/>
      <c r="S22" s="952"/>
      <c r="T22" s="959"/>
      <c r="U22" s="840"/>
      <c r="V22" s="840" t="s">
        <v>1960</v>
      </c>
      <c r="W22" s="840"/>
      <c r="X22" s="837"/>
      <c r="Y22" s="995"/>
      <c r="Z22" s="840"/>
      <c r="AA22" s="843"/>
      <c r="AB22" s="840"/>
      <c r="AC22" s="840"/>
      <c r="AD22" s="840"/>
    </row>
    <row customHeight="1" ht="27">
      <c r="A23" s="839"/>
      <c r="B23" s="893">
        <v>6</v>
      </c>
      <c r="C23" s="837">
        <v>4</v>
      </c>
      <c r="D23" s="962"/>
      <c r="E23" s="837"/>
      <c r="F23" s="837"/>
      <c r="G23" s="885"/>
      <c r="H23" s="953"/>
      <c r="I23" s="1000">
        <f>INDEX(TEMPLATE_NUMBER_POINT_FHD,B23,MATCH(TEMPLATE_SPHERE,TEMPLATE_SPHERE_LIST_FOR_NOTE,0))</f>
        <v>0</v>
      </c>
      <c r="J23" s="1000">
        <f>INDEX(TEMPLATE_DATA_POINT_FHD,B23,MATCH(TEMPLATE_SPHERE,TEMPLATE_SPHERE_LIST_FOR_NOTE,0))</f>
        <v>0</v>
      </c>
      <c r="K23" s="1000">
        <f>INDEX(TEMPLATE_NOTE_POINT_FHD,B23,MATCH(TEMPLATE_SPHERE,TEMPLATE_SPHERE_LIST_FOR_NOTE,0))</f>
        <v>0</v>
      </c>
      <c r="L23" s="838" t="str">
        <f>IF(I23=0,"",I23)</f>
        <v/>
      </c>
      <c r="M23" s="838" t="str">
        <f>IF(J23=0,"",J23)</f>
        <v/>
      </c>
      <c r="N23" s="838" t="str">
        <f>IF(K23=0,"",K23)</f>
        <v/>
      </c>
      <c r="O23" s="952"/>
      <c r="P23" s="952"/>
      <c r="Q23" s="952" t="s">
        <v>315</v>
      </c>
      <c r="R23" s="952"/>
      <c r="S23" s="952"/>
      <c r="T23" s="959"/>
      <c r="U23" s="840"/>
      <c r="V23" s="840" t="s">
        <v>1961</v>
      </c>
      <c r="W23" s="840"/>
      <c r="X23" s="837"/>
      <c r="Y23" s="995"/>
      <c r="Z23" s="840"/>
      <c r="AA23" s="843"/>
      <c r="AB23" s="840"/>
      <c r="AC23" s="840"/>
      <c r="AD23" s="840"/>
    </row>
    <row customHeight="1" ht="36">
      <c r="A24" s="839"/>
      <c r="B24" s="893">
        <v>7</v>
      </c>
      <c r="C24" s="837">
        <v>5</v>
      </c>
      <c r="D24" s="962"/>
      <c r="E24" s="837"/>
      <c r="F24" s="837"/>
      <c r="G24" s="885"/>
      <c r="H24" s="953"/>
      <c r="I24" s="1000">
        <f>INDEX(TEMPLATE_NUMBER_POINT_FHD,B24,MATCH(TEMPLATE_SPHERE,TEMPLATE_SPHERE_LIST_FOR_NOTE,0))</f>
        <v>0</v>
      </c>
      <c r="J24" s="1000">
        <f>INDEX(TEMPLATE_DATA_POINT_FHD,B24,MATCH(TEMPLATE_SPHERE,TEMPLATE_SPHERE_LIST_FOR_NOTE,0))</f>
        <v>0</v>
      </c>
      <c r="K24" s="1000">
        <f>INDEX(TEMPLATE_NOTE_POINT_FHD,B24,MATCH(TEMPLATE_SPHERE,TEMPLATE_SPHERE_LIST_FOR_NOTE,0))</f>
        <v>0</v>
      </c>
      <c r="L24" s="838" t="str">
        <f>IF(I24=0,"",I24)</f>
        <v/>
      </c>
      <c r="M24" s="838" t="str">
        <f>IF(J24=0,"",J24)</f>
        <v/>
      </c>
      <c r="N24" s="838" t="str">
        <f>IF(K24=0,"",K24)</f>
        <v/>
      </c>
      <c r="O24" s="952"/>
      <c r="P24" s="952"/>
      <c r="Q24" s="952" t="s">
        <v>641</v>
      </c>
      <c r="R24" s="952"/>
      <c r="S24" s="952"/>
      <c r="T24" s="959"/>
      <c r="U24" s="840"/>
      <c r="V24" s="840" t="s">
        <v>1962</v>
      </c>
      <c r="W24" s="840"/>
      <c r="X24" s="837"/>
      <c r="Y24" s="995"/>
      <c r="Z24" s="840"/>
      <c r="AA24" s="843"/>
      <c r="AB24" s="840"/>
      <c r="AC24" s="840"/>
      <c r="AD24" s="840"/>
    </row>
    <row customHeight="1" ht="36">
      <c r="A25" s="839"/>
      <c r="B25" s="893">
        <v>8</v>
      </c>
      <c r="C25" s="837">
        <v>6</v>
      </c>
      <c r="D25" s="962"/>
      <c r="E25" s="837"/>
      <c r="F25" s="837"/>
      <c r="G25" s="885"/>
      <c r="H25" s="953"/>
      <c r="I25" s="1000" t="str">
        <f>INDEX(TEMPLATE_NUMBER_POINT_FHD,B25,MATCH(TEMPLATE_SPHERE,TEMPLATE_SPHERE_LIST_FOR_NOTE,0))</f>
        <v>2.3</v>
      </c>
      <c r="J25" s="1000"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0">
        <f>INDEX(TEMPLATE_NOTE_POINT_FHD,B25,MATCH(TEMPLATE_SPHERE,TEMPLATE_SPHERE_LIST_FOR_NOTE,0))</f>
        <v>0</v>
      </c>
      <c r="L25" s="838" t="str">
        <f>IF(I25=0,"",I25)</f>
        <v>2.3</v>
      </c>
      <c r="M25" s="838" t="str">
        <f>IF(J25=0,"",J25)</f>
        <v>Расходы на приобретаемую электрическую энергию (мощность), используемую в технологическом процессе</v>
      </c>
      <c r="N25" s="838" t="str">
        <f>IF(K25=0,"",K25)</f>
        <v/>
      </c>
      <c r="O25" s="952" t="s">
        <v>315</v>
      </c>
      <c r="P25" s="952" t="s">
        <v>312</v>
      </c>
      <c r="Q25" s="952" t="s">
        <v>648</v>
      </c>
      <c r="R25" s="952" t="s">
        <v>312</v>
      </c>
      <c r="S25" s="952"/>
      <c r="T25" s="959" t="s">
        <v>1963</v>
      </c>
      <c r="U25" s="840" t="s">
        <v>1963</v>
      </c>
      <c r="V25" s="840" t="s">
        <v>1963</v>
      </c>
      <c r="W25" s="840" t="s">
        <v>1963</v>
      </c>
      <c r="X25" s="837"/>
      <c r="Y25" s="995"/>
      <c r="Z25" s="840"/>
      <c r="AA25" s="843"/>
      <c r="AB25" s="840"/>
      <c r="AC25" s="840"/>
      <c r="AD25" s="840"/>
    </row>
    <row customHeight="1" ht="18">
      <c r="A26" s="839"/>
      <c r="B26" s="893">
        <v>9</v>
      </c>
      <c r="C26" s="837" t="s">
        <v>817</v>
      </c>
      <c r="D26" s="962"/>
      <c r="E26" s="837"/>
      <c r="F26" s="837"/>
      <c r="G26" s="885"/>
      <c r="H26" s="953"/>
      <c r="I26" s="1000" t="str">
        <f>INDEX(TEMPLATE_NUMBER_POINT_FHD,B26,MATCH(TEMPLATE_SPHERE,TEMPLATE_SPHERE_LIST_FOR_NOTE,0))</f>
        <v>2.3.1</v>
      </c>
      <c r="J26" s="1000" t="str">
        <f>INDEX(TEMPLATE_DATA_POINT_FHD,B26,MATCH(TEMPLATE_SPHERE,TEMPLATE_SPHERE_LIST_FOR_NOTE,0))</f>
        <v>Средневзвешенная стоимость 1 кВт.ч (с учетом мощности)</v>
      </c>
      <c r="K26" s="1000">
        <f>INDEX(TEMPLATE_NOTE_POINT_FHD,B26,MATCH(TEMPLATE_SPHERE,TEMPLATE_SPHERE_LIST_FOR_NOTE,0))</f>
        <v>0</v>
      </c>
      <c r="L26" s="838" t="str">
        <f>IF(I26=0,"",I26)</f>
        <v>2.3.1</v>
      </c>
      <c r="M26" s="838" t="str">
        <f>IF(J26=0,"",J26)</f>
        <v>Средневзвешенная стоимость 1 кВт.ч (с учетом мощности)</v>
      </c>
      <c r="N26" s="838" t="str">
        <f>IF(K26=0,"",K26)</f>
        <v/>
      </c>
      <c r="O26" s="952" t="s">
        <v>637</v>
      </c>
      <c r="P26" s="952" t="s">
        <v>631</v>
      </c>
      <c r="Q26" s="952" t="s">
        <v>1964</v>
      </c>
      <c r="R26" s="952" t="s">
        <v>631</v>
      </c>
      <c r="S26" s="952"/>
      <c r="T26" s="959" t="s">
        <v>1965</v>
      </c>
      <c r="U26" s="959" t="s">
        <v>1965</v>
      </c>
      <c r="V26" s="959" t="s">
        <v>1965</v>
      </c>
      <c r="W26" s="959" t="s">
        <v>1965</v>
      </c>
      <c r="X26" s="837"/>
      <c r="Y26" s="995"/>
      <c r="Z26" s="840"/>
      <c r="AA26" s="843"/>
      <c r="AB26" s="840"/>
      <c r="AC26" s="840"/>
      <c r="AD26" s="840"/>
    </row>
    <row customHeight="1" ht="18">
      <c r="A27" s="839"/>
      <c r="B27" s="893">
        <v>10</v>
      </c>
      <c r="C27" s="837" t="s">
        <v>1966</v>
      </c>
      <c r="D27" s="962"/>
      <c r="E27" s="837"/>
      <c r="F27" s="837"/>
      <c r="G27" s="885"/>
      <c r="H27" s="953"/>
      <c r="I27" s="1000" t="str">
        <f>INDEX(TEMPLATE_NUMBER_POINT_FHD,B27,MATCH(TEMPLATE_SPHERE,TEMPLATE_SPHERE_LIST_FOR_NOTE,0))</f>
        <v>2.3.2</v>
      </c>
      <c r="J27" s="1000" t="str">
        <f>INDEX(TEMPLATE_DATA_POINT_FHD,B27,MATCH(TEMPLATE_SPHERE,TEMPLATE_SPHERE_LIST_FOR_NOTE,0))</f>
        <v>Объём приобретения электрической энергии</v>
      </c>
      <c r="K27" s="1000">
        <f>INDEX(TEMPLATE_NOTE_POINT_FHD,B27,MATCH(TEMPLATE_SPHERE,TEMPLATE_SPHERE_LIST_FOR_NOTE,0))</f>
        <v>0</v>
      </c>
      <c r="L27" s="838" t="str">
        <f>IF(I27=0,"",I27)</f>
        <v>2.3.2</v>
      </c>
      <c r="M27" s="838" t="str">
        <f>IF(J27=0,"",J27)</f>
        <v>Объём приобретения электрической энергии</v>
      </c>
      <c r="N27" s="838" t="str">
        <f>IF(K27=0,"",K27)</f>
        <v/>
      </c>
      <c r="O27" s="952" t="s">
        <v>639</v>
      </c>
      <c r="P27" s="952" t="s">
        <v>633</v>
      </c>
      <c r="Q27" s="952" t="s">
        <v>1967</v>
      </c>
      <c r="R27" s="952" t="s">
        <v>633</v>
      </c>
      <c r="S27" s="952"/>
      <c r="T27" s="959" t="s">
        <v>1968</v>
      </c>
      <c r="U27" s="959" t="s">
        <v>1968</v>
      </c>
      <c r="V27" s="959" t="s">
        <v>1968</v>
      </c>
      <c r="W27" s="959" t="s">
        <v>1968</v>
      </c>
      <c r="X27" s="837"/>
      <c r="Y27" s="995"/>
      <c r="Z27" s="840"/>
      <c r="AA27" s="843"/>
      <c r="AB27" s="840"/>
      <c r="AC27" s="840"/>
      <c r="AD27" s="840"/>
    </row>
    <row customHeight="1" ht="27">
      <c r="A28" s="839"/>
      <c r="B28" s="893">
        <v>11</v>
      </c>
      <c r="C28" s="837">
        <v>7</v>
      </c>
      <c r="D28" s="962"/>
      <c r="E28" s="837"/>
      <c r="F28" s="837"/>
      <c r="G28" s="885"/>
      <c r="H28" s="953"/>
      <c r="I28" s="1000" t="str">
        <f>INDEX(TEMPLATE_NUMBER_POINT_FHD,B28,MATCH(TEMPLATE_SPHERE,TEMPLATE_SPHERE_LIST_FOR_NOTE,0))</f>
        <v>2.4</v>
      </c>
      <c r="J28" s="1000" t="str">
        <f>INDEX(TEMPLATE_DATA_POINT_FHD,B28,MATCH(TEMPLATE_SPHERE,TEMPLATE_SPHERE_LIST_FOR_NOTE,0))</f>
        <v>Расходы на приобретение холодной воды, используемой в технологическом процессе</v>
      </c>
      <c r="K28" s="1000">
        <f>INDEX(TEMPLATE_NOTE_POINT_FHD,B28,MATCH(TEMPLATE_SPHERE,TEMPLATE_SPHERE_LIST_FOR_NOTE,0))</f>
        <v>0</v>
      </c>
      <c r="L28" s="838" t="str">
        <f>IF(I28=0,"",I28)</f>
        <v>2.4</v>
      </c>
      <c r="M28" s="838" t="str">
        <f>IF(J28=0,"",J28)</f>
        <v>Расходы на приобретение холодной воды, используемой в технологическом процессе</v>
      </c>
      <c r="N28" s="838" t="str">
        <f>IF(K28=0,"",K28)</f>
        <v/>
      </c>
      <c r="O28" s="952" t="s">
        <v>641</v>
      </c>
      <c r="P28" s="952"/>
      <c r="Q28" s="952"/>
      <c r="R28" s="952"/>
      <c r="S28" s="952"/>
      <c r="T28" s="959" t="s">
        <v>1969</v>
      </c>
      <c r="U28" s="840"/>
      <c r="V28" s="840"/>
      <c r="W28" s="840"/>
      <c r="X28" s="837"/>
      <c r="Y28" s="995"/>
      <c r="Z28" s="840"/>
      <c r="AA28" s="843"/>
      <c r="AB28" s="840"/>
      <c r="AC28" s="840"/>
      <c r="AD28" s="840"/>
    </row>
    <row customHeight="1" ht="27">
      <c r="A29" s="839"/>
      <c r="B29" s="893">
        <v>12</v>
      </c>
      <c r="C29" s="837">
        <v>8</v>
      </c>
      <c r="D29" s="962"/>
      <c r="E29" s="837"/>
      <c r="F29" s="837"/>
      <c r="G29" s="885"/>
      <c r="H29" s="953"/>
      <c r="I29" s="1000" t="str">
        <f>INDEX(TEMPLATE_NUMBER_POINT_FHD,B29,MATCH(TEMPLATE_SPHERE,TEMPLATE_SPHERE_LIST_FOR_NOTE,0))</f>
        <v>2.5</v>
      </c>
      <c r="J29" s="1000" t="str">
        <f>INDEX(TEMPLATE_DATA_POINT_FHD,B29,MATCH(TEMPLATE_SPHERE,TEMPLATE_SPHERE_LIST_FOR_NOTE,0))</f>
        <v>Расходы на химические реагенты, используемые в технологическом процессе</v>
      </c>
      <c r="K29" s="1000">
        <f>INDEX(TEMPLATE_NOTE_POINT_FHD,B29,MATCH(TEMPLATE_SPHERE,TEMPLATE_SPHERE_LIST_FOR_NOTE,0))</f>
        <v>0</v>
      </c>
      <c r="L29" s="838" t="str">
        <f>IF(I29=0,"",I29)</f>
        <v>2.5</v>
      </c>
      <c r="M29" s="838" t="str">
        <f>IF(J29=0,"",J29)</f>
        <v>Расходы на химические реагенты, используемые в технологическом процессе</v>
      </c>
      <c r="N29" s="838" t="str">
        <f>IF(K29=0,"",K29)</f>
        <v/>
      </c>
      <c r="O29" s="952" t="s">
        <v>648</v>
      </c>
      <c r="P29" s="952" t="s">
        <v>315</v>
      </c>
      <c r="Q29" s="952"/>
      <c r="R29" s="952" t="s">
        <v>315</v>
      </c>
      <c r="S29" s="952"/>
      <c r="T29" s="959" t="s">
        <v>1970</v>
      </c>
      <c r="U29" s="840" t="s">
        <v>1970</v>
      </c>
      <c r="V29" s="840"/>
      <c r="W29" s="840" t="s">
        <v>1970</v>
      </c>
      <c r="X29" s="837"/>
      <c r="Y29" s="995"/>
      <c r="Z29" s="840"/>
      <c r="AA29" s="843"/>
      <c r="AB29" s="840"/>
      <c r="AC29" s="840"/>
      <c r="AD29" s="840"/>
    </row>
    <row customHeight="1" ht="54">
      <c r="A30" s="839"/>
      <c r="B30" s="893">
        <v>13</v>
      </c>
      <c r="C30" s="837">
        <v>9</v>
      </c>
      <c r="D30" s="962"/>
      <c r="E30" s="837"/>
      <c r="F30" s="837"/>
      <c r="G30" s="885"/>
      <c r="H30" s="953"/>
      <c r="I30" s="1000" t="str">
        <f>INDEX(TEMPLATE_NUMBER_POINT_FHD,B30,MATCH(TEMPLATE_SPHERE,TEMPLATE_SPHERE_LIST_FOR_NOTE,0))</f>
        <v>2.6</v>
      </c>
      <c r="J30" s="1000"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0">
        <f>INDEX(TEMPLATE_NOTE_POINT_FHD,B30,MATCH(TEMPLATE_SPHERE,TEMPLATE_SPHERE_LIST_FOR_NOTE,0))</f>
        <v>0</v>
      </c>
      <c r="L30" s="838" t="str">
        <f>IF(I30=0,"",I30)</f>
        <v>2.6</v>
      </c>
      <c r="M30" s="838"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38" t="str">
        <f>IF(K30=0,"",K30)</f>
        <v/>
      </c>
      <c r="O30" s="952" t="s">
        <v>650</v>
      </c>
      <c r="P30" s="952" t="s">
        <v>641</v>
      </c>
      <c r="Q30" s="952" t="s">
        <v>650</v>
      </c>
      <c r="R30" s="952" t="s">
        <v>641</v>
      </c>
      <c r="S30" s="952"/>
      <c r="T30" s="959" t="s">
        <v>1971</v>
      </c>
      <c r="U30" s="840" t="s">
        <v>1971</v>
      </c>
      <c r="V30" s="840" t="s">
        <v>1971</v>
      </c>
      <c r="W30" s="840" t="s">
        <v>1971</v>
      </c>
      <c r="X30" s="837"/>
      <c r="Y30" s="995"/>
      <c r="Z30" s="840"/>
      <c r="AA30" s="843" t="s">
        <v>1972</v>
      </c>
      <c r="AB30" s="843" t="s">
        <v>1972</v>
      </c>
      <c r="AC30" s="843" t="s">
        <v>1972</v>
      </c>
      <c r="AD30" s="840"/>
    </row>
    <row customHeight="1" ht="18">
      <c r="A31" s="839"/>
      <c r="B31" s="893">
        <v>14</v>
      </c>
      <c r="C31" s="837" t="s">
        <v>1973</v>
      </c>
      <c r="D31" s="962"/>
      <c r="E31" s="837"/>
      <c r="F31" s="837"/>
      <c r="G31" s="885"/>
      <c r="H31" s="953"/>
      <c r="I31" s="1000" t="str">
        <f>INDEX(TEMPLATE_NUMBER_POINT_FHD,B31,MATCH(TEMPLATE_SPHERE,TEMPLATE_SPHERE_LIST_FOR_NOTE,0))</f>
        <v>2.6.1</v>
      </c>
      <c r="J31" s="1000" t="str">
        <f>INDEX(TEMPLATE_DATA_POINT_FHD,B31,MATCH(TEMPLATE_SPHERE,TEMPLATE_SPHERE_LIST_FOR_NOTE,0))</f>
        <v>Расходы на оплату труда основного производственного персонала</v>
      </c>
      <c r="K31" s="1000">
        <f>INDEX(TEMPLATE_NOTE_POINT_FHD,B31,MATCH(TEMPLATE_SPHERE,TEMPLATE_SPHERE_LIST_FOR_NOTE,0))</f>
        <v>0</v>
      </c>
      <c r="L31" s="838" t="str">
        <f>IF(I31=0,"",I31)</f>
        <v>2.6.1</v>
      </c>
      <c r="M31" s="838" t="str">
        <f>IF(J31=0,"",J31)</f>
        <v>Расходы на оплату труда основного производственного персонала</v>
      </c>
      <c r="N31" s="838" t="str">
        <f>IF(K31=0,"",K31)</f>
        <v/>
      </c>
      <c r="O31" s="952" t="s">
        <v>1974</v>
      </c>
      <c r="P31" s="952" t="s">
        <v>644</v>
      </c>
      <c r="Q31" s="952" t="s">
        <v>1974</v>
      </c>
      <c r="R31" s="952" t="s">
        <v>644</v>
      </c>
      <c r="S31" s="952"/>
      <c r="T31" s="960" t="s">
        <v>1975</v>
      </c>
      <c r="U31" s="840" t="s">
        <v>1975</v>
      </c>
      <c r="V31" s="840" t="s">
        <v>1975</v>
      </c>
      <c r="W31" s="840" t="s">
        <v>1975</v>
      </c>
      <c r="X31" s="837"/>
      <c r="Y31" s="995"/>
      <c r="Z31" s="840"/>
      <c r="AA31" s="843"/>
      <c r="AB31" s="843"/>
      <c r="AC31" s="843"/>
      <c r="AD31" s="840"/>
    </row>
    <row customHeight="1" ht="36">
      <c r="A32" s="839"/>
      <c r="B32" s="893">
        <v>15</v>
      </c>
      <c r="C32" s="837" t="s">
        <v>1976</v>
      </c>
      <c r="D32" s="962"/>
      <c r="E32" s="837"/>
      <c r="F32" s="837"/>
      <c r="G32" s="885"/>
      <c r="H32" s="953"/>
      <c r="I32" s="1000" t="str">
        <f>INDEX(TEMPLATE_NUMBER_POINT_FHD,B32,MATCH(TEMPLATE_SPHERE,TEMPLATE_SPHERE_LIST_FOR_NOTE,0))</f>
        <v>2.6.2</v>
      </c>
      <c r="J32" s="1000"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0">
        <f>INDEX(TEMPLATE_NOTE_POINT_FHD,B32,MATCH(TEMPLATE_SPHERE,TEMPLATE_SPHERE_LIST_FOR_NOTE,0))</f>
        <v>0</v>
      </c>
      <c r="L32" s="838" t="str">
        <f>IF(I32=0,"",I32)</f>
        <v>2.6.2</v>
      </c>
      <c r="M32" s="838" t="str">
        <f>IF(J32=0,"",J32)</f>
        <v>Страховые взносы на обязательное социальное страхование, выплачиваемые из фонда оплаты труда основного производственного персонала</v>
      </c>
      <c r="N32" s="838" t="str">
        <f>IF(K32=0,"",K32)</f>
        <v/>
      </c>
      <c r="O32" s="952" t="s">
        <v>1977</v>
      </c>
      <c r="P32" s="952" t="s">
        <v>646</v>
      </c>
      <c r="Q32" s="952" t="s">
        <v>1977</v>
      </c>
      <c r="R32" s="952" t="s">
        <v>646</v>
      </c>
      <c r="S32" s="952"/>
      <c r="T32" s="961" t="s">
        <v>1978</v>
      </c>
      <c r="U32" s="840" t="s">
        <v>1978</v>
      </c>
      <c r="V32" s="840" t="s">
        <v>1978</v>
      </c>
      <c r="W32" s="840" t="s">
        <v>1978</v>
      </c>
      <c r="X32" s="837"/>
      <c r="Y32" s="995"/>
      <c r="Z32" s="840"/>
      <c r="AA32" s="843"/>
      <c r="AB32" s="843"/>
      <c r="AC32" s="843"/>
      <c r="AD32" s="840"/>
    </row>
    <row customHeight="1" ht="45">
      <c r="A33" s="839"/>
      <c r="B33" s="893">
        <v>16</v>
      </c>
      <c r="C33" s="837">
        <v>10</v>
      </c>
      <c r="D33" s="962"/>
      <c r="E33" s="837"/>
      <c r="F33" s="837"/>
      <c r="G33" s="885"/>
      <c r="H33" s="953"/>
      <c r="I33" s="1000" t="str">
        <f>INDEX(TEMPLATE_NUMBER_POINT_FHD,B33,MATCH(TEMPLATE_SPHERE,TEMPLATE_SPHERE_LIST_FOR_NOTE,0))</f>
        <v>2.7</v>
      </c>
      <c r="J33" s="1000"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0">
        <f>INDEX(TEMPLATE_NOTE_POINT_FHD,B33,MATCH(TEMPLATE_SPHERE,TEMPLATE_SPHERE_LIST_FOR_NOTE,0))</f>
        <v>0</v>
      </c>
      <c r="L33" s="838" t="str">
        <f>IF(I33=0,"",I33)</f>
        <v>2.7</v>
      </c>
      <c r="M33" s="838"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38" t="str">
        <f>IF(K33=0,"",K33)</f>
        <v/>
      </c>
      <c r="O33" s="952" t="s">
        <v>652</v>
      </c>
      <c r="P33" s="952" t="s">
        <v>648</v>
      </c>
      <c r="Q33" s="952" t="s">
        <v>652</v>
      </c>
      <c r="R33" s="952" t="s">
        <v>648</v>
      </c>
      <c r="S33" s="952"/>
      <c r="T33" s="960" t="s">
        <v>1979</v>
      </c>
      <c r="U33" s="840" t="s">
        <v>1979</v>
      </c>
      <c r="V33" s="840" t="s">
        <v>1979</v>
      </c>
      <c r="W33" s="840" t="s">
        <v>1980</v>
      </c>
      <c r="X33" s="837"/>
      <c r="Y33" s="995"/>
      <c r="Z33" s="840"/>
      <c r="AA33" s="843" t="s">
        <v>1981</v>
      </c>
      <c r="AB33" s="843" t="s">
        <v>1981</v>
      </c>
      <c r="AC33" s="843" t="s">
        <v>1981</v>
      </c>
      <c r="AD33" s="840"/>
    </row>
    <row customHeight="1" ht="27">
      <c r="A34" s="839"/>
      <c r="B34" s="893">
        <v>17</v>
      </c>
      <c r="C34" s="837" t="s">
        <v>1982</v>
      </c>
      <c r="D34" s="962"/>
      <c r="E34" s="837"/>
      <c r="F34" s="837"/>
      <c r="G34" s="885"/>
      <c r="H34" s="953"/>
      <c r="I34" s="1000" t="str">
        <f>INDEX(TEMPLATE_NUMBER_POINT_FHD,B34,MATCH(TEMPLATE_SPHERE,TEMPLATE_SPHERE_LIST_FOR_NOTE,0))</f>
        <v>2.7.1</v>
      </c>
      <c r="J34" s="1000" t="str">
        <f>INDEX(TEMPLATE_DATA_POINT_FHD,B34,MATCH(TEMPLATE_SPHERE,TEMPLATE_SPHERE_LIST_FOR_NOTE,0))</f>
        <v>Расходы на оплату труда административно-управленческого персонала</v>
      </c>
      <c r="K34" s="1000">
        <f>INDEX(TEMPLATE_NOTE_POINT_FHD,B34,MATCH(TEMPLATE_SPHERE,TEMPLATE_SPHERE_LIST_FOR_NOTE,0))</f>
        <v>0</v>
      </c>
      <c r="L34" s="838" t="str">
        <f>IF(I34=0,"",I34)</f>
        <v>2.7.1</v>
      </c>
      <c r="M34" s="838" t="str">
        <f>IF(J34=0,"",J34)</f>
        <v>Расходы на оплату труда административно-управленческого персонала</v>
      </c>
      <c r="N34" s="838" t="str">
        <f>IF(K34=0,"",K34)</f>
        <v/>
      </c>
      <c r="O34" s="952" t="s">
        <v>1983</v>
      </c>
      <c r="P34" s="952" t="s">
        <v>1964</v>
      </c>
      <c r="Q34" s="952" t="s">
        <v>1983</v>
      </c>
      <c r="R34" s="952" t="s">
        <v>1964</v>
      </c>
      <c r="S34" s="952"/>
      <c r="T34" s="961" t="s">
        <v>1984</v>
      </c>
      <c r="U34" s="840" t="s">
        <v>1984</v>
      </c>
      <c r="V34" s="840" t="s">
        <v>1984</v>
      </c>
      <c r="W34" s="840" t="s">
        <v>1985</v>
      </c>
      <c r="X34" s="837"/>
      <c r="Y34" s="995"/>
      <c r="Z34" s="840"/>
      <c r="AA34" s="843"/>
      <c r="AB34" s="840"/>
      <c r="AC34" s="840"/>
      <c r="AD34" s="840"/>
    </row>
    <row customHeight="1" ht="45">
      <c r="A35" s="839"/>
      <c r="B35" s="893">
        <v>18</v>
      </c>
      <c r="C35" s="837" t="s">
        <v>1986</v>
      </c>
      <c r="D35" s="962"/>
      <c r="E35" s="837"/>
      <c r="F35" s="837"/>
      <c r="G35" s="885"/>
      <c r="H35" s="953"/>
      <c r="I35" s="1000" t="str">
        <f>INDEX(TEMPLATE_NUMBER_POINT_FHD,B35,MATCH(TEMPLATE_SPHERE,TEMPLATE_SPHERE_LIST_FOR_NOTE,0))</f>
        <v>2.7.2</v>
      </c>
      <c r="J35" s="1000"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0">
        <f>INDEX(TEMPLATE_NOTE_POINT_FHD,B35,MATCH(TEMPLATE_SPHERE,TEMPLATE_SPHERE_LIST_FOR_NOTE,0))</f>
        <v>0</v>
      </c>
      <c r="L35" s="838" t="str">
        <f>IF(I35=0,"",I35)</f>
        <v>2.7.2</v>
      </c>
      <c r="M35" s="838"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38" t="str">
        <f>IF(K35=0,"",K35)</f>
        <v/>
      </c>
      <c r="O35" s="952" t="s">
        <v>1987</v>
      </c>
      <c r="P35" s="952" t="s">
        <v>1967</v>
      </c>
      <c r="Q35" s="952" t="s">
        <v>1987</v>
      </c>
      <c r="R35" s="952" t="s">
        <v>1967</v>
      </c>
      <c r="S35" s="952"/>
      <c r="T35" s="959" t="s">
        <v>1988</v>
      </c>
      <c r="U35" s="840" t="s">
        <v>1988</v>
      </c>
      <c r="V35" s="840" t="s">
        <v>1988</v>
      </c>
      <c r="W35" s="840" t="s">
        <v>1988</v>
      </c>
      <c r="X35" s="837"/>
      <c r="Y35" s="995"/>
      <c r="Z35" s="840"/>
      <c r="AA35" s="843"/>
      <c r="AB35" s="840"/>
      <c r="AC35" s="840"/>
      <c r="AD35" s="840"/>
    </row>
    <row customHeight="1" ht="18">
      <c r="A36" s="839"/>
      <c r="B36" s="893">
        <v>19</v>
      </c>
      <c r="C36" s="837">
        <v>11</v>
      </c>
      <c r="D36" s="962"/>
      <c r="E36" s="837"/>
      <c r="F36" s="837"/>
      <c r="G36" s="885"/>
      <c r="H36" s="953"/>
      <c r="I36" s="1000" t="str">
        <f>INDEX(TEMPLATE_NUMBER_POINT_FHD,B36,MATCH(TEMPLATE_SPHERE,TEMPLATE_SPHERE_LIST_FOR_NOTE,0))</f>
        <v>2.8</v>
      </c>
      <c r="J36" s="1000" t="str">
        <f>INDEX(TEMPLATE_DATA_POINT_FHD,B36,MATCH(TEMPLATE_SPHERE,TEMPLATE_SPHERE_LIST_FOR_NOTE,0))</f>
        <v>Расходы на амортизацию основных средств и нематериальных активов</v>
      </c>
      <c r="K36" s="1000">
        <f>INDEX(TEMPLATE_NOTE_POINT_FHD,B36,MATCH(TEMPLATE_SPHERE,TEMPLATE_SPHERE_LIST_FOR_NOTE,0))</f>
        <v>0</v>
      </c>
      <c r="L36" s="838" t="str">
        <f>IF(I36=0,"",I36)</f>
        <v>2.8</v>
      </c>
      <c r="M36" s="838" t="str">
        <f>IF(J36=0,"",J36)</f>
        <v>Расходы на амортизацию основных средств и нематериальных активов</v>
      </c>
      <c r="N36" s="838" t="str">
        <f>IF(K36=0,"",K36)</f>
        <v/>
      </c>
      <c r="O36" s="952" t="s">
        <v>654</v>
      </c>
      <c r="P36" s="952" t="s">
        <v>650</v>
      </c>
      <c r="Q36" s="952" t="s">
        <v>654</v>
      </c>
      <c r="R36" s="952" t="s">
        <v>650</v>
      </c>
      <c r="S36" s="952"/>
      <c r="T36" s="959" t="s">
        <v>1989</v>
      </c>
      <c r="U36" s="840" t="s">
        <v>1989</v>
      </c>
      <c r="V36" s="840" t="s">
        <v>1989</v>
      </c>
      <c r="W36" s="840" t="s">
        <v>1989</v>
      </c>
      <c r="X36" s="837"/>
      <c r="Y36" s="995"/>
      <c r="Z36" s="840"/>
      <c r="AA36" s="843"/>
      <c r="AB36" s="840"/>
      <c r="AC36" s="840"/>
      <c r="AD36" s="840"/>
    </row>
    <row customHeight="1" ht="18">
      <c r="A37" s="839"/>
      <c r="B37" s="893">
        <v>20</v>
      </c>
      <c r="C37" s="837" t="s">
        <v>1990</v>
      </c>
      <c r="D37" s="962"/>
      <c r="E37" s="837"/>
      <c r="F37" s="837"/>
      <c r="G37" s="885"/>
      <c r="H37" s="953"/>
      <c r="I37" s="1000" t="str">
        <f>INDEX(TEMPLATE_NUMBER_POINT_FHD,B37,MATCH(TEMPLATE_SPHERE,TEMPLATE_SPHERE_LIST_FOR_NOTE,0))</f>
        <v>2.8.1</v>
      </c>
      <c r="J37" s="1000" t="str">
        <f>INDEX(TEMPLATE_DATA_POINT_FHD,B37,MATCH(TEMPLATE_SPHERE,TEMPLATE_SPHERE_LIST_FOR_NOTE,0))</f>
        <v>Расходы на амортизацию основных средств</v>
      </c>
      <c r="K37" s="1000">
        <f>INDEX(TEMPLATE_NOTE_POINT_FHD,B37,MATCH(TEMPLATE_SPHERE,TEMPLATE_SPHERE_LIST_FOR_NOTE,0))</f>
        <v>0</v>
      </c>
      <c r="L37" s="838" t="str">
        <f>IF(I37=0,"",I37)</f>
        <v>2.8.1</v>
      </c>
      <c r="M37" s="838" t="str">
        <f>IF(J37=0,"",J37)</f>
        <v>Расходы на амортизацию основных средств</v>
      </c>
      <c r="N37" s="838" t="str">
        <f>IF(K37=0,"",K37)</f>
        <v/>
      </c>
      <c r="O37" s="952" t="s">
        <v>1991</v>
      </c>
      <c r="P37" s="952" t="s">
        <v>1974</v>
      </c>
      <c r="Q37" s="952" t="s">
        <v>1991</v>
      </c>
      <c r="R37" s="952" t="s">
        <v>1974</v>
      </c>
      <c r="S37" s="952"/>
      <c r="T37" s="959" t="s">
        <v>1992</v>
      </c>
      <c r="U37" s="840" t="s">
        <v>1992</v>
      </c>
      <c r="V37" s="840" t="s">
        <v>1992</v>
      </c>
      <c r="W37" s="840" t="s">
        <v>1992</v>
      </c>
      <c r="X37" s="837"/>
      <c r="Y37" s="995"/>
      <c r="Z37" s="840"/>
      <c r="AA37" s="843"/>
      <c r="AB37" s="840"/>
      <c r="AC37" s="840"/>
      <c r="AD37" s="840"/>
    </row>
    <row customHeight="1" ht="18">
      <c r="A38" s="839"/>
      <c r="B38" s="893">
        <v>21</v>
      </c>
      <c r="C38" s="837" t="s">
        <v>1993</v>
      </c>
      <c r="D38" s="962"/>
      <c r="E38" s="837"/>
      <c r="F38" s="837"/>
      <c r="G38" s="885"/>
      <c r="H38" s="953"/>
      <c r="I38" s="1000" t="str">
        <f>INDEX(TEMPLATE_NUMBER_POINT_FHD,B38,MATCH(TEMPLATE_SPHERE,TEMPLATE_SPHERE_LIST_FOR_NOTE,0))</f>
        <v>2.8.2</v>
      </c>
      <c r="J38" s="1000" t="str">
        <f>INDEX(TEMPLATE_DATA_POINT_FHD,B38,MATCH(TEMPLATE_SPHERE,TEMPLATE_SPHERE_LIST_FOR_NOTE,0))</f>
        <v>Расходы на амортизацию нематериальных активов</v>
      </c>
      <c r="K38" s="1000">
        <f>INDEX(TEMPLATE_NOTE_POINT_FHD,B38,MATCH(TEMPLATE_SPHERE,TEMPLATE_SPHERE_LIST_FOR_NOTE,0))</f>
        <v>0</v>
      </c>
      <c r="L38" s="838" t="str">
        <f>IF(I38=0,"",I38)</f>
        <v>2.8.2</v>
      </c>
      <c r="M38" s="838" t="str">
        <f>IF(J38=0,"",J38)</f>
        <v>Расходы на амортизацию нематериальных активов</v>
      </c>
      <c r="N38" s="838" t="str">
        <f>IF(K38=0,"",K38)</f>
        <v/>
      </c>
      <c r="O38" s="952" t="s">
        <v>1994</v>
      </c>
      <c r="P38" s="952" t="s">
        <v>1977</v>
      </c>
      <c r="Q38" s="952" t="s">
        <v>1994</v>
      </c>
      <c r="R38" s="952" t="s">
        <v>1977</v>
      </c>
      <c r="S38" s="952"/>
      <c r="T38" s="959" t="s">
        <v>1995</v>
      </c>
      <c r="U38" s="840" t="s">
        <v>1995</v>
      </c>
      <c r="V38" s="840" t="s">
        <v>1995</v>
      </c>
      <c r="W38" s="840" t="s">
        <v>1995</v>
      </c>
      <c r="X38" s="837"/>
      <c r="Y38" s="995"/>
      <c r="Z38" s="840"/>
      <c r="AA38" s="843"/>
      <c r="AB38" s="840"/>
      <c r="AC38" s="840"/>
      <c r="AD38" s="840"/>
    </row>
    <row customHeight="1" ht="36">
      <c r="A39" s="839"/>
      <c r="B39" s="893">
        <v>22</v>
      </c>
      <c r="C39" s="837">
        <v>12</v>
      </c>
      <c r="D39" s="962"/>
      <c r="E39" s="837"/>
      <c r="F39" s="837"/>
      <c r="G39" s="885"/>
      <c r="H39" s="953"/>
      <c r="I39" s="1000" t="str">
        <f>INDEX(TEMPLATE_NUMBER_POINT_FHD,B39,MATCH(TEMPLATE_SPHERE,TEMPLATE_SPHERE_LIST_FOR_NOTE,0))</f>
        <v>2.9</v>
      </c>
      <c r="J39" s="1000" t="str">
        <f>INDEX(TEMPLATE_DATA_POINT_FHD,B39,MATCH(TEMPLATE_SPHERE,TEMPLATE_SPHERE_LIST_FOR_NOTE,0))</f>
        <v>Расходы на аренду имущества, используемого для осуществления регулируемого вида деятельности</v>
      </c>
      <c r="K39" s="1000">
        <f>INDEX(TEMPLATE_NOTE_POINT_FHD,B39,MATCH(TEMPLATE_SPHERE,TEMPLATE_SPHERE_LIST_FOR_NOTE,0))</f>
        <v>0</v>
      </c>
      <c r="L39" s="838" t="str">
        <f>IF(I39=0,"",I39)</f>
        <v>2.9</v>
      </c>
      <c r="M39" s="838" t="str">
        <f>IF(J39=0,"",J39)</f>
        <v>Расходы на аренду имущества, используемого для осуществления регулируемого вида деятельности</v>
      </c>
      <c r="N39" s="838" t="str">
        <f>IF(K39=0,"",K39)</f>
        <v/>
      </c>
      <c r="O39" s="952" t="s">
        <v>658</v>
      </c>
      <c r="P39" s="952" t="s">
        <v>652</v>
      </c>
      <c r="Q39" s="952" t="s">
        <v>658</v>
      </c>
      <c r="R39" s="952" t="s">
        <v>652</v>
      </c>
      <c r="S39" s="952"/>
      <c r="T39" s="959" t="s">
        <v>1996</v>
      </c>
      <c r="U39" s="840" t="s">
        <v>1997</v>
      </c>
      <c r="V39" s="840" t="s">
        <v>1998</v>
      </c>
      <c r="W39" s="840" t="s">
        <v>1999</v>
      </c>
      <c r="X39" s="837"/>
      <c r="Y39" s="995"/>
      <c r="Z39" s="840"/>
      <c r="AA39" s="843"/>
      <c r="AB39" s="840"/>
      <c r="AC39" s="840"/>
      <c r="AD39" s="840"/>
    </row>
    <row customHeight="1" ht="18">
      <c r="A40" s="839"/>
      <c r="B40" s="893">
        <v>23</v>
      </c>
      <c r="C40" s="837">
        <v>13</v>
      </c>
      <c r="D40" s="962"/>
      <c r="E40" s="837"/>
      <c r="F40" s="837"/>
      <c r="G40" s="837"/>
      <c r="H40" s="888"/>
      <c r="I40" s="1000" t="str">
        <f>INDEX(TEMPLATE_NUMBER_POINT_FHD,B40,MATCH(TEMPLATE_SPHERE,TEMPLATE_SPHERE_LIST_FOR_NOTE,0))</f>
        <v>2.10</v>
      </c>
      <c r="J40" s="1000" t="str">
        <f>INDEX(TEMPLATE_DATA_POINT_FHD,B40,MATCH(TEMPLATE_SPHERE,TEMPLATE_SPHERE_LIST_FOR_NOTE,0))</f>
        <v>Общепроизводственные расходы, в том числе:</v>
      </c>
      <c r="K40" s="1000" t="str">
        <f>INDEX(TEMPLATE_NOTE_POINT_FHD,B40,MATCH(TEMPLATE_SPHERE,TEMPLATE_SPHERE_LIST_FOR_NOTE,0))</f>
        <v>Указывается общая сумма общепроизводственных расходов.</v>
      </c>
      <c r="L40" s="838" t="str">
        <f>IF(I40=0,"",I40)</f>
        <v>2.10</v>
      </c>
      <c r="M40" s="838" t="str">
        <f>IF(J40=0,"",J40)</f>
        <v>Общепроизводственные расходы, в том числе:</v>
      </c>
      <c r="N40" s="838" t="str">
        <f>IF(K40=0,"",K40)</f>
        <v>Указывается общая сумма общепроизводственных расходов.</v>
      </c>
      <c r="O40" s="952" t="s">
        <v>2000</v>
      </c>
      <c r="P40" s="952" t="s">
        <v>654</v>
      </c>
      <c r="Q40" s="952" t="s">
        <v>2000</v>
      </c>
      <c r="R40" s="952" t="s">
        <v>654</v>
      </c>
      <c r="S40" s="952"/>
      <c r="T40" s="837" t="s">
        <v>2001</v>
      </c>
      <c r="U40" s="837" t="s">
        <v>2001</v>
      </c>
      <c r="V40" s="837" t="s">
        <v>2001</v>
      </c>
      <c r="W40" s="837" t="s">
        <v>2001</v>
      </c>
      <c r="X40" s="837"/>
      <c r="Y40" s="995"/>
      <c r="Z40" s="840" t="s">
        <v>2002</v>
      </c>
      <c r="AA40" s="843" t="s">
        <v>2002</v>
      </c>
      <c r="AB40" s="843" t="s">
        <v>2002</v>
      </c>
      <c r="AC40" s="843" t="s">
        <v>2002</v>
      </c>
      <c r="AD40" s="840"/>
    </row>
    <row customHeight="1" ht="27">
      <c r="A41" s="839"/>
      <c r="B41" s="893">
        <v>24</v>
      </c>
      <c r="C41" s="837" t="s">
        <v>2003</v>
      </c>
      <c r="D41" s="962"/>
      <c r="E41" s="837"/>
      <c r="F41" s="837"/>
      <c r="G41" s="837"/>
      <c r="H41" s="885"/>
      <c r="I41" s="1000" t="str">
        <f>INDEX(TEMPLATE_NUMBER_POINT_FHD,B41,MATCH(TEMPLATE_SPHERE,TEMPLATE_SPHERE_LIST_FOR_NOTE,0))</f>
        <v>2.10.1</v>
      </c>
      <c r="J41" s="1000" t="str">
        <f>INDEX(TEMPLATE_DATA_POINT_FHD,B41,MATCH(TEMPLATE_SPHERE,TEMPLATE_SPHERE_LIST_FOR_NOTE,0))</f>
        <v>Расходы на текущий ремонт</v>
      </c>
      <c r="K41" s="1000" t="str">
        <f>INDEX(TEMPLATE_NOTE_POINT_FHD,B41,MATCH(TEMPLATE_SPHERE,TEMPLATE_SPHERE_LIST_FOR_NOTE,0))</f>
        <v>Указываются расходы на текущий ремонт, отнесенные к общепроизводственным расходам.</v>
      </c>
      <c r="L41" s="838" t="str">
        <f>IF(I41=0,"",I41)</f>
        <v>2.10.1</v>
      </c>
      <c r="M41" s="838" t="str">
        <f>IF(J41=0,"",J41)</f>
        <v>Расходы на текущий ремонт</v>
      </c>
      <c r="N41" s="838" t="str">
        <f>IF(K41=0,"",K41)</f>
        <v>Указываются расходы на текущий ремонт, отнесенные к общепроизводственным расходам.</v>
      </c>
      <c r="O41" s="952" t="s">
        <v>2004</v>
      </c>
      <c r="P41" s="952" t="s">
        <v>1991</v>
      </c>
      <c r="Q41" s="952" t="s">
        <v>2004</v>
      </c>
      <c r="R41" s="952" t="s">
        <v>1991</v>
      </c>
      <c r="S41" s="952"/>
      <c r="T41" s="837" t="s">
        <v>2005</v>
      </c>
      <c r="U41" s="837" t="s">
        <v>2005</v>
      </c>
      <c r="V41" s="837" t="s">
        <v>2005</v>
      </c>
      <c r="W41" s="837" t="s">
        <v>2005</v>
      </c>
      <c r="X41" s="837"/>
      <c r="Y41" s="995"/>
      <c r="Z41" s="840" t="s">
        <v>2006</v>
      </c>
      <c r="AA41" s="840" t="s">
        <v>2006</v>
      </c>
      <c r="AB41" s="840" t="s">
        <v>2006</v>
      </c>
      <c r="AC41" s="840" t="s">
        <v>2006</v>
      </c>
      <c r="AD41" s="840"/>
    </row>
    <row customHeight="1" ht="27">
      <c r="A42" s="839"/>
      <c r="B42" s="893">
        <v>25</v>
      </c>
      <c r="C42" s="837" t="s">
        <v>2007</v>
      </c>
      <c r="D42" s="962"/>
      <c r="E42" s="837"/>
      <c r="F42" s="837"/>
      <c r="G42" s="837"/>
      <c r="H42" s="885"/>
      <c r="I42" s="1000" t="str">
        <f>INDEX(TEMPLATE_NUMBER_POINT_FHD,B42,MATCH(TEMPLATE_SPHERE,TEMPLATE_SPHERE_LIST_FOR_NOTE,0))</f>
        <v>2.10.2</v>
      </c>
      <c r="J42" s="1000" t="str">
        <f>INDEX(TEMPLATE_DATA_POINT_FHD,B42,MATCH(TEMPLATE_SPHERE,TEMPLATE_SPHERE_LIST_FOR_NOTE,0))</f>
        <v>Расходы на капитальный ремонт</v>
      </c>
      <c r="K42" s="1000" t="str">
        <f>INDEX(TEMPLATE_NOTE_POINT_FHD,B42,MATCH(TEMPLATE_SPHERE,TEMPLATE_SPHERE_LIST_FOR_NOTE,0))</f>
        <v>Указываются расходы на капитальный ремонт, отнесенные к общепроизводственным расходам.</v>
      </c>
      <c r="L42" s="838" t="str">
        <f>IF(I42=0,"",I42)</f>
        <v>2.10.2</v>
      </c>
      <c r="M42" s="838" t="str">
        <f>IF(J42=0,"",J42)</f>
        <v>Расходы на капитальный ремонт</v>
      </c>
      <c r="N42" s="838" t="str">
        <f>IF(K42=0,"",K42)</f>
        <v>Указываются расходы на капитальный ремонт, отнесенные к общепроизводственным расходам.</v>
      </c>
      <c r="O42" s="952" t="s">
        <v>2008</v>
      </c>
      <c r="P42" s="952" t="s">
        <v>1994</v>
      </c>
      <c r="Q42" s="952" t="s">
        <v>2008</v>
      </c>
      <c r="R42" s="952" t="s">
        <v>1994</v>
      </c>
      <c r="S42" s="952"/>
      <c r="T42" s="837" t="s">
        <v>2009</v>
      </c>
      <c r="U42" s="837" t="s">
        <v>2009</v>
      </c>
      <c r="V42" s="837" t="s">
        <v>2009</v>
      </c>
      <c r="W42" s="837" t="s">
        <v>2009</v>
      </c>
      <c r="X42" s="837"/>
      <c r="Y42" s="995"/>
      <c r="Z42" s="840" t="s">
        <v>2010</v>
      </c>
      <c r="AA42" s="840" t="s">
        <v>2010</v>
      </c>
      <c r="AB42" s="840" t="s">
        <v>2010</v>
      </c>
      <c r="AC42" s="840" t="s">
        <v>2010</v>
      </c>
      <c r="AD42" s="840"/>
    </row>
    <row customHeight="1" ht="18">
      <c r="A43" s="839"/>
      <c r="B43" s="893">
        <v>26</v>
      </c>
      <c r="C43" s="837">
        <v>14</v>
      </c>
      <c r="D43" s="962"/>
      <c r="E43" s="837"/>
      <c r="F43" s="837"/>
      <c r="G43" s="837"/>
      <c r="H43" s="885"/>
      <c r="I43" s="1000" t="str">
        <f>INDEX(TEMPLATE_NUMBER_POINT_FHD,B43,MATCH(TEMPLATE_SPHERE,TEMPLATE_SPHERE_LIST_FOR_NOTE,0))</f>
        <v>2.11</v>
      </c>
      <c r="J43" s="1000" t="str">
        <f>INDEX(TEMPLATE_DATA_POINT_FHD,B43,MATCH(TEMPLATE_SPHERE,TEMPLATE_SPHERE_LIST_FOR_NOTE,0))</f>
        <v>Общехозяйственные расходы, в том числе:</v>
      </c>
      <c r="K43" s="1000" t="str">
        <f>INDEX(TEMPLATE_NOTE_POINT_FHD,B43,MATCH(TEMPLATE_SPHERE,TEMPLATE_SPHERE_LIST_FOR_NOTE,0))</f>
        <v>Указывается общая сумма общехозяйственных расходов.</v>
      </c>
      <c r="L43" s="838" t="str">
        <f>IF(I43=0,"",I43)</f>
        <v>2.11</v>
      </c>
      <c r="M43" s="838" t="str">
        <f>IF(J43=0,"",J43)</f>
        <v>Общехозяйственные расходы, в том числе:</v>
      </c>
      <c r="N43" s="838" t="str">
        <f>IF(K43=0,"",K43)</f>
        <v>Указывается общая сумма общехозяйственных расходов.</v>
      </c>
      <c r="O43" s="952" t="s">
        <v>2011</v>
      </c>
      <c r="P43" s="952" t="s">
        <v>658</v>
      </c>
      <c r="Q43" s="952" t="s">
        <v>2011</v>
      </c>
      <c r="R43" s="952" t="s">
        <v>658</v>
      </c>
      <c r="S43" s="952"/>
      <c r="T43" s="837" t="s">
        <v>2012</v>
      </c>
      <c r="U43" s="837" t="s">
        <v>2012</v>
      </c>
      <c r="V43" s="837" t="s">
        <v>2012</v>
      </c>
      <c r="W43" s="837" t="s">
        <v>2012</v>
      </c>
      <c r="X43" s="837"/>
      <c r="Y43" s="995"/>
      <c r="Z43" s="840" t="s">
        <v>2013</v>
      </c>
      <c r="AA43" s="840" t="s">
        <v>2013</v>
      </c>
      <c r="AB43" s="840" t="s">
        <v>2013</v>
      </c>
      <c r="AC43" s="840" t="s">
        <v>2013</v>
      </c>
      <c r="AD43" s="840"/>
    </row>
    <row customHeight="1" ht="27">
      <c r="A44" s="839"/>
      <c r="B44" s="893">
        <v>27</v>
      </c>
      <c r="C44" s="837" t="s">
        <v>2014</v>
      </c>
      <c r="D44" s="962"/>
      <c r="E44" s="837"/>
      <c r="F44" s="837"/>
      <c r="G44" s="837"/>
      <c r="H44" s="885"/>
      <c r="I44" s="1000" t="str">
        <f>INDEX(TEMPLATE_NUMBER_POINT_FHD,B44,MATCH(TEMPLATE_SPHERE,TEMPLATE_SPHERE_LIST_FOR_NOTE,0))</f>
        <v>2.11.1</v>
      </c>
      <c r="J44" s="1000" t="str">
        <f>INDEX(TEMPLATE_DATA_POINT_FHD,B44,MATCH(TEMPLATE_SPHERE,TEMPLATE_SPHERE_LIST_FOR_NOTE,0))</f>
        <v>Расходы на текущий ремонт</v>
      </c>
      <c r="K44" s="1000" t="str">
        <f>INDEX(TEMPLATE_NOTE_POINT_FHD,B44,MATCH(TEMPLATE_SPHERE,TEMPLATE_SPHERE_LIST_FOR_NOTE,0))</f>
        <v>Указываются расходы на текущий ремонт, отнесенные к общехозяйственным расходам.</v>
      </c>
      <c r="L44" s="838" t="str">
        <f>IF(I44=0,"",I44)</f>
        <v>2.11.1</v>
      </c>
      <c r="M44" s="838" t="str">
        <f>IF(J44=0,"",J44)</f>
        <v>Расходы на текущий ремонт</v>
      </c>
      <c r="N44" s="838" t="str">
        <f>IF(K44=0,"",K44)</f>
        <v>Указываются расходы на текущий ремонт, отнесенные к общехозяйственным расходам.</v>
      </c>
      <c r="O44" s="952" t="s">
        <v>2015</v>
      </c>
      <c r="P44" s="952" t="s">
        <v>2016</v>
      </c>
      <c r="Q44" s="952" t="s">
        <v>2015</v>
      </c>
      <c r="R44" s="952" t="s">
        <v>2016</v>
      </c>
      <c r="S44" s="952"/>
      <c r="T44" s="837" t="s">
        <v>2005</v>
      </c>
      <c r="U44" s="837" t="s">
        <v>2005</v>
      </c>
      <c r="V44" s="837" t="s">
        <v>2005</v>
      </c>
      <c r="W44" s="837" t="s">
        <v>2005</v>
      </c>
      <c r="X44" s="837"/>
      <c r="Y44" s="995"/>
      <c r="Z44" s="840" t="s">
        <v>2017</v>
      </c>
      <c r="AA44" s="840" t="s">
        <v>2017</v>
      </c>
      <c r="AB44" s="840" t="s">
        <v>2017</v>
      </c>
      <c r="AC44" s="840" t="s">
        <v>2017</v>
      </c>
      <c r="AD44" s="840"/>
    </row>
    <row customHeight="1" ht="27">
      <c r="A45" s="839"/>
      <c r="B45" s="893">
        <v>28</v>
      </c>
      <c r="C45" s="837" t="s">
        <v>2018</v>
      </c>
      <c r="D45" s="962"/>
      <c r="E45" s="837"/>
      <c r="F45" s="837"/>
      <c r="G45" s="837"/>
      <c r="H45" s="885"/>
      <c r="I45" s="1000" t="str">
        <f>INDEX(TEMPLATE_NUMBER_POINT_FHD,B45,MATCH(TEMPLATE_SPHERE,TEMPLATE_SPHERE_LIST_FOR_NOTE,0))</f>
        <v>2.11.2</v>
      </c>
      <c r="J45" s="1000" t="str">
        <f>INDEX(TEMPLATE_DATA_POINT_FHD,B45,MATCH(TEMPLATE_SPHERE,TEMPLATE_SPHERE_LIST_FOR_NOTE,0))</f>
        <v>Расходы на капитальный ремонт</v>
      </c>
      <c r="K45" s="1000" t="str">
        <f>INDEX(TEMPLATE_NOTE_POINT_FHD,B45,MATCH(TEMPLATE_SPHERE,TEMPLATE_SPHERE_LIST_FOR_NOTE,0))</f>
        <v>Указываются расходы на капитальный ремонт, отнесенные к общехозяйственным расходам.</v>
      </c>
      <c r="L45" s="838" t="str">
        <f>IF(I45=0,"",I45)</f>
        <v>2.11.2</v>
      </c>
      <c r="M45" s="838" t="str">
        <f>IF(J45=0,"",J45)</f>
        <v>Расходы на капитальный ремонт</v>
      </c>
      <c r="N45" s="838" t="str">
        <f>IF(K45=0,"",K45)</f>
        <v>Указываются расходы на капитальный ремонт, отнесенные к общехозяйственным расходам.</v>
      </c>
      <c r="O45" s="952" t="s">
        <v>2019</v>
      </c>
      <c r="P45" s="952" t="s">
        <v>2020</v>
      </c>
      <c r="Q45" s="952" t="s">
        <v>2019</v>
      </c>
      <c r="R45" s="952" t="s">
        <v>2020</v>
      </c>
      <c r="S45" s="952"/>
      <c r="T45" s="837" t="s">
        <v>2009</v>
      </c>
      <c r="U45" s="837" t="s">
        <v>2009</v>
      </c>
      <c r="V45" s="837" t="s">
        <v>2009</v>
      </c>
      <c r="W45" s="837" t="s">
        <v>2009</v>
      </c>
      <c r="X45" s="837"/>
      <c r="Y45" s="995"/>
      <c r="Z45" s="840" t="s">
        <v>2021</v>
      </c>
      <c r="AA45" s="840" t="s">
        <v>2021</v>
      </c>
      <c r="AB45" s="840" t="s">
        <v>2021</v>
      </c>
      <c r="AC45" s="840" t="s">
        <v>2021</v>
      </c>
      <c r="AD45" s="840"/>
    </row>
    <row customHeight="1" ht="54">
      <c r="A46" s="839"/>
      <c r="B46" s="893">
        <v>29</v>
      </c>
      <c r="C46" s="837">
        <v>15</v>
      </c>
      <c r="D46" s="962"/>
      <c r="E46" s="837"/>
      <c r="F46" s="837"/>
      <c r="G46" s="837"/>
      <c r="H46" s="885"/>
      <c r="I46" s="1000" t="str">
        <f>INDEX(TEMPLATE_NUMBER_POINT_FHD,B46,MATCH(TEMPLATE_SPHERE,TEMPLATE_SPHERE_LIST_FOR_NOTE,0))</f>
        <v>2.12</v>
      </c>
      <c r="J46" s="1000" t="str">
        <f>INDEX(TEMPLATE_DATA_POINT_FHD,B46,MATCH(TEMPLATE_SPHERE,TEMPLATE_SPHERE_LIST_FOR_NOTE,0))</f>
        <v>Расходы на капитальный и текущий ремонт основных средств</v>
      </c>
      <c r="K46" s="1000"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38" t="str">
        <f>IF(I46=0,"",I46)</f>
        <v>2.12</v>
      </c>
      <c r="M46" s="838" t="str">
        <f>IF(J46=0,"",J46)</f>
        <v>Расходы на капитальный и текущий ремонт основных средств</v>
      </c>
      <c r="N46" s="838"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2" t="s">
        <v>2022</v>
      </c>
      <c r="P46" s="952" t="s">
        <v>2000</v>
      </c>
      <c r="Q46" s="952" t="s">
        <v>2022</v>
      </c>
      <c r="R46" s="952" t="s">
        <v>2000</v>
      </c>
      <c r="S46" s="952"/>
      <c r="T46" s="837" t="s">
        <v>2023</v>
      </c>
      <c r="U46" s="837" t="s">
        <v>2023</v>
      </c>
      <c r="V46" s="837" t="s">
        <v>2023</v>
      </c>
      <c r="W46" s="837" t="s">
        <v>2023</v>
      </c>
      <c r="X46" s="837"/>
      <c r="Y46" s="995"/>
      <c r="Z46" s="840" t="s">
        <v>2024</v>
      </c>
      <c r="AA46" s="840" t="s">
        <v>2025</v>
      </c>
      <c r="AB46" s="840" t="s">
        <v>2025</v>
      </c>
      <c r="AC46" s="840" t="s">
        <v>2025</v>
      </c>
      <c r="AD46" s="840"/>
    </row>
    <row customHeight="1" ht="54">
      <c r="A47" s="839"/>
      <c r="B47" s="893">
        <v>30</v>
      </c>
      <c r="C47" s="837" t="s">
        <v>2026</v>
      </c>
      <c r="D47" s="962"/>
      <c r="E47" s="837"/>
      <c r="F47" s="837"/>
      <c r="G47" s="837"/>
      <c r="H47" s="885"/>
      <c r="I47" s="1000" t="str">
        <f>INDEX(TEMPLATE_NUMBER_POINT_FHD,B47,MATCH(TEMPLATE_SPHERE,TEMPLATE_SPHERE_LIST_FOR_NOTE,0))</f>
        <v>2.12.1</v>
      </c>
      <c r="J47" s="1000"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0">
        <f>INDEX(TEMPLATE_NOTE_POINT_FHD,B47,MATCH(TEMPLATE_SPHERE,TEMPLATE_SPHERE_LIST_FOR_NOTE,0))</f>
        <v>0</v>
      </c>
      <c r="L47" s="838" t="str">
        <f>IF(I47=0,"",I47)</f>
        <v>2.12.1</v>
      </c>
      <c r="M47" s="838"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38" t="str">
        <f>IF(K47=0,"",K47)</f>
        <v/>
      </c>
      <c r="O47" s="952" t="s">
        <v>2027</v>
      </c>
      <c r="P47" s="952" t="s">
        <v>2004</v>
      </c>
      <c r="Q47" s="952" t="s">
        <v>2027</v>
      </c>
      <c r="R47" s="952" t="s">
        <v>2004</v>
      </c>
      <c r="S47" s="952"/>
      <c r="T47" s="837" t="s">
        <v>2028</v>
      </c>
      <c r="U47" s="837" t="s">
        <v>2028</v>
      </c>
      <c r="V47" s="837" t="s">
        <v>2028</v>
      </c>
      <c r="W47" s="837" t="s">
        <v>2028</v>
      </c>
      <c r="X47" s="837"/>
      <c r="Y47" s="995"/>
      <c r="Z47" s="840"/>
      <c r="AA47" s="843"/>
      <c r="AB47" s="843"/>
      <c r="AC47" s="843"/>
      <c r="AD47" s="840"/>
    </row>
    <row customHeight="1" ht="54">
      <c r="A48" s="839"/>
      <c r="B48" s="893">
        <v>31</v>
      </c>
      <c r="C48" s="837">
        <v>16</v>
      </c>
      <c r="D48" s="962"/>
      <c r="E48" s="837"/>
      <c r="F48" s="837"/>
      <c r="G48" s="837"/>
      <c r="H48" s="885"/>
      <c r="I48" s="1000">
        <f>INDEX(TEMPLATE_NUMBER_POINT_FHD,B48,MATCH(TEMPLATE_SPHERE,TEMPLATE_SPHERE_LIST_FOR_NOTE,0))</f>
        <v>0</v>
      </c>
      <c r="J48" s="1000">
        <f>INDEX(TEMPLATE_DATA_POINT_FHD,B48,MATCH(TEMPLATE_SPHERE,TEMPLATE_SPHERE_LIST_FOR_NOTE,0))</f>
        <v>0</v>
      </c>
      <c r="K48" s="1000">
        <f>INDEX(TEMPLATE_NOTE_POINT_FHD,B48,MATCH(TEMPLATE_SPHERE,TEMPLATE_SPHERE_LIST_FOR_NOTE,0))</f>
        <v>0</v>
      </c>
      <c r="L48" s="838" t="str">
        <f>IF(I48=0,"",I48)</f>
        <v/>
      </c>
      <c r="M48" s="838" t="str">
        <f>IF(J48=0,"",J48)</f>
        <v/>
      </c>
      <c r="N48" s="838" t="str">
        <f>IF(K48=0,"",K48)</f>
        <v/>
      </c>
      <c r="O48" s="952"/>
      <c r="P48" s="952" t="s">
        <v>2011</v>
      </c>
      <c r="Q48" s="952" t="s">
        <v>2029</v>
      </c>
      <c r="R48" s="952" t="s">
        <v>2011</v>
      </c>
      <c r="S48" s="952"/>
      <c r="T48" s="837"/>
      <c r="U48" s="837" t="s">
        <v>2030</v>
      </c>
      <c r="V48" s="837" t="s">
        <v>2031</v>
      </c>
      <c r="W48" s="837" t="s">
        <v>2031</v>
      </c>
      <c r="X48" s="837"/>
      <c r="Y48" s="995"/>
      <c r="Z48" s="840"/>
      <c r="AA48" s="843" t="s">
        <v>2025</v>
      </c>
      <c r="AB48" s="843" t="s">
        <v>2025</v>
      </c>
      <c r="AC48" s="843" t="s">
        <v>2025</v>
      </c>
      <c r="AD48" s="840"/>
    </row>
    <row customHeight="1" ht="54">
      <c r="A49" s="839"/>
      <c r="B49" s="893">
        <v>32</v>
      </c>
      <c r="C49" s="837" t="s">
        <v>2032</v>
      </c>
      <c r="D49" s="962"/>
      <c r="E49" s="837"/>
      <c r="F49" s="837"/>
      <c r="G49" s="837"/>
      <c r="H49" s="885"/>
      <c r="I49" s="1000">
        <f>INDEX(TEMPLATE_NUMBER_POINT_FHD,B49,MATCH(TEMPLATE_SPHERE,TEMPLATE_SPHERE_LIST_FOR_NOTE,0))</f>
        <v>0</v>
      </c>
      <c r="J49" s="1000">
        <f>INDEX(TEMPLATE_DATA_POINT_FHD,B49,MATCH(TEMPLATE_SPHERE,TEMPLATE_SPHERE_LIST_FOR_NOTE,0))</f>
        <v>0</v>
      </c>
      <c r="K49" s="1000">
        <f>INDEX(TEMPLATE_NOTE_POINT_FHD,B49,MATCH(TEMPLATE_SPHERE,TEMPLATE_SPHERE_LIST_FOR_NOTE,0))</f>
        <v>0</v>
      </c>
      <c r="L49" s="838" t="str">
        <f>IF(I49=0,"",I49)</f>
        <v/>
      </c>
      <c r="M49" s="838" t="str">
        <f>IF(J49=0,"",J49)</f>
        <v/>
      </c>
      <c r="N49" s="838" t="str">
        <f>IF(K49=0,"",K49)</f>
        <v/>
      </c>
      <c r="O49" s="952"/>
      <c r="P49" s="952" t="s">
        <v>2015</v>
      </c>
      <c r="Q49" s="952" t="s">
        <v>2033</v>
      </c>
      <c r="R49" s="952" t="s">
        <v>2015</v>
      </c>
      <c r="S49" s="952"/>
      <c r="T49" s="837"/>
      <c r="U49" s="837" t="s">
        <v>2028</v>
      </c>
      <c r="V49" s="837" t="s">
        <v>2028</v>
      </c>
      <c r="W49" s="837" t="s">
        <v>2028</v>
      </c>
      <c r="X49" s="837"/>
      <c r="Y49" s="995"/>
      <c r="Z49" s="840"/>
      <c r="AA49" s="843"/>
      <c r="AB49" s="843"/>
      <c r="AC49" s="843"/>
      <c r="AD49" s="840"/>
    </row>
    <row customHeight="1" ht="126">
      <c r="A50" s="839"/>
      <c r="B50" s="893">
        <v>33</v>
      </c>
      <c r="C50" s="837">
        <v>17</v>
      </c>
      <c r="D50" s="962"/>
      <c r="E50" s="837"/>
      <c r="F50" s="837"/>
      <c r="G50" s="837"/>
      <c r="H50" s="885"/>
      <c r="I50" s="1000" t="str">
        <f>INDEX(TEMPLATE_NUMBER_POINT_FHD,B50,MATCH(TEMPLATE_SPHERE,TEMPLATE_SPHERE_LIST_FOR_NOTE,0))</f>
        <v>2.13</v>
      </c>
      <c r="J50" s="1000"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0"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38" t="str">
        <f>IF(I50=0,"",I50)</f>
        <v>2.13</v>
      </c>
      <c r="M50" s="838"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38"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2" t="s">
        <v>2029</v>
      </c>
      <c r="P50" s="952" t="s">
        <v>2022</v>
      </c>
      <c r="Q50" s="952" t="s">
        <v>2034</v>
      </c>
      <c r="R50" s="952" t="s">
        <v>2022</v>
      </c>
      <c r="S50" s="952"/>
      <c r="T50" s="837" t="s">
        <v>2035</v>
      </c>
      <c r="U50" s="837" t="s">
        <v>2036</v>
      </c>
      <c r="V50" s="837" t="s">
        <v>2037</v>
      </c>
      <c r="W50" s="837" t="s">
        <v>2038</v>
      </c>
      <c r="X50" s="837"/>
      <c r="Y50" s="995"/>
      <c r="Z50" s="840" t="s">
        <v>2039</v>
      </c>
      <c r="AA50" s="843" t="s">
        <v>2040</v>
      </c>
      <c r="AB50" s="843" t="s">
        <v>2040</v>
      </c>
      <c r="AC50" s="843" t="s">
        <v>2040</v>
      </c>
      <c r="AD50" s="840"/>
    </row>
    <row customHeight="1" ht="27">
      <c r="A51" s="839"/>
      <c r="B51" s="893">
        <v>34</v>
      </c>
      <c r="C51" s="837" t="s">
        <v>2041</v>
      </c>
      <c r="D51" s="962"/>
      <c r="E51" s="837"/>
      <c r="F51" s="837"/>
      <c r="G51" s="837"/>
      <c r="H51" s="885"/>
      <c r="I51" s="1000" t="str">
        <f>INDEX(TEMPLATE_NUMBER_POINT_FHD,B51,MATCH(TEMPLATE_SPHERE,TEMPLATE_SPHERE_LIST_FOR_NOTE,0))</f>
        <v>3</v>
      </c>
      <c r="J51" s="1000"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0">
        <f>INDEX(TEMPLATE_NOTE_POINT_FHD,B51,MATCH(TEMPLATE_SPHERE,TEMPLATE_SPHERE_LIST_FOR_NOTE,0))</f>
        <v>0</v>
      </c>
      <c r="L51" s="838" t="str">
        <f>IF(I51=0,"",I51)</f>
        <v>3</v>
      </c>
      <c r="M51" s="838" t="str">
        <f>IF(J51=0,"",J51)</f>
        <v>Валовая прибыль (убытки) от реализации товаров и оказания услуг по регулируемому виду деятельности</v>
      </c>
      <c r="N51" s="838" t="str">
        <f>IF(K51=0,"",K51)</f>
        <v/>
      </c>
      <c r="O51" s="952" t="s">
        <v>89</v>
      </c>
      <c r="P51" s="952"/>
      <c r="Q51" s="952"/>
      <c r="R51" s="952"/>
      <c r="S51" s="952"/>
      <c r="T51" s="837" t="s">
        <v>2042</v>
      </c>
      <c r="U51" s="837"/>
      <c r="V51" s="837"/>
      <c r="W51" s="837"/>
      <c r="X51" s="837"/>
      <c r="Y51" s="995"/>
      <c r="Z51" s="840"/>
      <c r="AA51" s="843"/>
      <c r="AB51" s="843"/>
      <c r="AC51" s="843"/>
      <c r="AD51" s="840"/>
    </row>
    <row customHeight="1" ht="36">
      <c r="A52" s="839"/>
      <c r="B52" s="893">
        <v>35</v>
      </c>
      <c r="C52" s="837" t="s">
        <v>1934</v>
      </c>
      <c r="D52" s="962" t="s">
        <v>1934</v>
      </c>
      <c r="E52" s="837" t="s">
        <v>1934</v>
      </c>
      <c r="F52" s="837" t="s">
        <v>1934</v>
      </c>
      <c r="G52" s="837"/>
      <c r="H52" s="885"/>
      <c r="I52" s="1000" t="str">
        <f>INDEX(TEMPLATE_NUMBER_POINT_FHD,B52,MATCH(TEMPLATE_SPHERE,TEMPLATE_SPHERE_LIST_FOR_NOTE,0))</f>
        <v>4</v>
      </c>
      <c r="J52" s="1000" t="str">
        <f>INDEX(TEMPLATE_DATA_POINT_FHD,B52,MATCH(TEMPLATE_SPHERE,TEMPLATE_SPHERE_LIST_FOR_NOTE,0))</f>
        <v>Чистая прибыль, полученная от регулируемого вида деятельности, в том числе:</v>
      </c>
      <c r="K52" s="1000" t="str">
        <f>INDEX(TEMPLATE_NOTE_POINT_FHD,B52,MATCH(TEMPLATE_SPHERE,TEMPLATE_SPHERE_LIST_FOR_NOTE,0))</f>
        <v>Указывается общая сумма чистой прибыли, полученной от регулируемого вида деятельности.</v>
      </c>
      <c r="L52" s="838" t="str">
        <f>IF(I52=0,"",I52)</f>
        <v>4</v>
      </c>
      <c r="M52" s="838" t="str">
        <f>IF(J52=0,"",J52)</f>
        <v>Чистая прибыль, полученная от регулируемого вида деятельности, в том числе:</v>
      </c>
      <c r="N52" s="838" t="str">
        <f>IF(K52=0,"",K52)</f>
        <v>Указывается общая сумма чистой прибыли, полученной от регулируемого вида деятельности.</v>
      </c>
      <c r="O52" s="952" t="s">
        <v>90</v>
      </c>
      <c r="P52" s="952" t="s">
        <v>89</v>
      </c>
      <c r="Q52" s="952" t="s">
        <v>89</v>
      </c>
      <c r="R52" s="952" t="s">
        <v>89</v>
      </c>
      <c r="S52" s="952"/>
      <c r="T52" s="837" t="s">
        <v>2043</v>
      </c>
      <c r="U52" s="837" t="s">
        <v>2044</v>
      </c>
      <c r="V52" s="837" t="s">
        <v>2045</v>
      </c>
      <c r="W52" s="837" t="s">
        <v>2046</v>
      </c>
      <c r="X52" s="837"/>
      <c r="Y52" s="995"/>
      <c r="Z52" s="840" t="s">
        <v>662</v>
      </c>
      <c r="AA52" s="843" t="s">
        <v>662</v>
      </c>
      <c r="AB52" s="843" t="s">
        <v>662</v>
      </c>
      <c r="AC52" s="843" t="s">
        <v>662</v>
      </c>
      <c r="AD52" s="840"/>
    </row>
    <row customHeight="1" ht="36">
      <c r="A53" s="839"/>
      <c r="B53" s="893">
        <v>36</v>
      </c>
      <c r="C53" s="837">
        <v>1</v>
      </c>
      <c r="D53" s="962"/>
      <c r="E53" s="837"/>
      <c r="F53" s="837"/>
      <c r="G53" s="837"/>
      <c r="H53" s="885"/>
      <c r="I53" s="1000" t="str">
        <f>INDEX(TEMPLATE_NUMBER_POINT_FHD,B53,MATCH(TEMPLATE_SPHERE,TEMPLATE_SPHERE_LIST_FOR_NOTE,0))</f>
        <v>4.1</v>
      </c>
      <c r="J53" s="1000"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0">
        <f>INDEX(TEMPLATE_NOTE_POINT_FHD,B53,MATCH(TEMPLATE_SPHERE,TEMPLATE_SPHERE_LIST_FOR_NOTE,0))</f>
        <v>0</v>
      </c>
      <c r="L53" s="838" t="str">
        <f>IF(I53=0,"",I53)</f>
        <v>4.1</v>
      </c>
      <c r="M53" s="838"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38" t="str">
        <f>IF(K53=0,"",K53)</f>
        <v/>
      </c>
      <c r="O53" s="952" t="s">
        <v>666</v>
      </c>
      <c r="P53" s="952" t="s">
        <v>331</v>
      </c>
      <c r="Q53" s="952" t="s">
        <v>331</v>
      </c>
      <c r="R53" s="952" t="s">
        <v>331</v>
      </c>
      <c r="S53" s="952"/>
      <c r="T53" s="837" t="s">
        <v>2047</v>
      </c>
      <c r="U53" s="837" t="s">
        <v>2047</v>
      </c>
      <c r="V53" s="837" t="s">
        <v>2047</v>
      </c>
      <c r="W53" s="837" t="s">
        <v>2047</v>
      </c>
      <c r="X53" s="837"/>
      <c r="Y53" s="995"/>
      <c r="Z53" s="840"/>
      <c r="AA53" s="843"/>
      <c r="AB53" s="840"/>
      <c r="AC53" s="840"/>
      <c r="AD53" s="840"/>
    </row>
    <row customHeight="1" ht="18">
      <c r="A54" s="839"/>
      <c r="B54" s="893">
        <v>37</v>
      </c>
      <c r="C54" s="837" t="s">
        <v>1940</v>
      </c>
      <c r="D54" s="962" t="s">
        <v>1940</v>
      </c>
      <c r="E54" s="837" t="s">
        <v>1940</v>
      </c>
      <c r="F54" s="837" t="s">
        <v>1940</v>
      </c>
      <c r="G54" s="837"/>
      <c r="H54" s="885"/>
      <c r="I54" s="1000" t="str">
        <f>INDEX(TEMPLATE_NUMBER_POINT_FHD,B54,MATCH(TEMPLATE_SPHERE,TEMPLATE_SPHERE_LIST_FOR_NOTE,0))</f>
        <v>5</v>
      </c>
      <c r="J54" s="1000" t="str">
        <f>INDEX(TEMPLATE_DATA_POINT_FHD,B54,MATCH(TEMPLATE_SPHERE,TEMPLATE_SPHERE_LIST_FOR_NOTE,0))</f>
        <v>Изменение стоимости основных фондов, в том числе:</v>
      </c>
      <c r="K54" s="1000" t="str">
        <f>INDEX(TEMPLATE_NOTE_POINT_FHD,B54,MATCH(TEMPLATE_SPHERE,TEMPLATE_SPHERE_LIST_FOR_NOTE,0))</f>
        <v>Указывается общее изменение стоимости основных фондов.</v>
      </c>
      <c r="L54" s="838" t="str">
        <f>IF(I54=0,"",I54)</f>
        <v>5</v>
      </c>
      <c r="M54" s="838" t="str">
        <f>IF(J54=0,"",J54)</f>
        <v>Изменение стоимости основных фондов, в том числе:</v>
      </c>
      <c r="N54" s="838" t="str">
        <f>IF(K54=0,"",K54)</f>
        <v>Указывается общее изменение стоимости основных фондов.</v>
      </c>
      <c r="O54" s="952" t="s">
        <v>110</v>
      </c>
      <c r="P54" s="952" t="s">
        <v>90</v>
      </c>
      <c r="Q54" s="952" t="s">
        <v>90</v>
      </c>
      <c r="R54" s="952" t="s">
        <v>90</v>
      </c>
      <c r="S54" s="952"/>
      <c r="T54" s="837" t="s">
        <v>664</v>
      </c>
      <c r="U54" s="837" t="s">
        <v>664</v>
      </c>
      <c r="V54" s="837" t="s">
        <v>664</v>
      </c>
      <c r="W54" s="837" t="s">
        <v>664</v>
      </c>
      <c r="X54" s="837"/>
      <c r="Y54" s="995"/>
      <c r="Z54" s="840" t="s">
        <v>665</v>
      </c>
      <c r="AA54" s="840" t="s">
        <v>665</v>
      </c>
      <c r="AB54" s="840" t="s">
        <v>665</v>
      </c>
      <c r="AC54" s="840" t="s">
        <v>665</v>
      </c>
      <c r="AD54" s="840"/>
    </row>
    <row customHeight="1" ht="36">
      <c r="A55" s="839"/>
      <c r="B55" s="893">
        <v>38</v>
      </c>
      <c r="C55" s="837">
        <v>1</v>
      </c>
      <c r="D55" s="962"/>
      <c r="E55" s="837"/>
      <c r="F55" s="837"/>
      <c r="G55" s="837"/>
      <c r="H55" s="885"/>
      <c r="I55" s="1000" t="str">
        <f>INDEX(TEMPLATE_NUMBER_POINT_FHD,B55,MATCH(TEMPLATE_SPHERE,TEMPLATE_SPHERE_LIST_FOR_NOTE,0))</f>
        <v>5.1</v>
      </c>
      <c r="J55" s="1000" t="str">
        <f>INDEX(TEMPLATE_DATA_POINT_FHD,B55,MATCH(TEMPLATE_SPHERE,TEMPLATE_SPHERE_LIST_FOR_NOTE,0))</f>
        <v>Изменение стоимости основных фондов за счет:</v>
      </c>
      <c r="K55" s="1000"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38" t="str">
        <f>IF(I55=0,"",I55)</f>
        <v>5.1</v>
      </c>
      <c r="M55" s="838" t="str">
        <f>IF(J55=0,"",J55)</f>
        <v>Изменение стоимости основных фондов за счет:</v>
      </c>
      <c r="N55" s="838" t="str">
        <f>IF(K55=0,"",K55)</f>
        <v>Указываются общее изменение стоимости основных фондов за счет их ввода в эксплуатацию и вывода из эксплуатации.</v>
      </c>
      <c r="O55" s="952" t="s">
        <v>320</v>
      </c>
      <c r="P55" s="952" t="s">
        <v>666</v>
      </c>
      <c r="Q55" s="952" t="s">
        <v>666</v>
      </c>
      <c r="R55" s="952" t="s">
        <v>666</v>
      </c>
      <c r="S55" s="952"/>
      <c r="T55" s="837" t="s">
        <v>2048</v>
      </c>
      <c r="U55" s="837" t="s">
        <v>2049</v>
      </c>
      <c r="V55" s="837" t="s">
        <v>2049</v>
      </c>
      <c r="W55" s="837" t="s">
        <v>2049</v>
      </c>
      <c r="X55" s="837"/>
      <c r="Y55" s="995"/>
      <c r="Z55" s="840" t="s">
        <v>2050</v>
      </c>
      <c r="AA55" s="840" t="s">
        <v>2050</v>
      </c>
      <c r="AB55" s="840" t="s">
        <v>2050</v>
      </c>
      <c r="AC55" s="840" t="s">
        <v>2050</v>
      </c>
      <c r="AD55" s="840"/>
    </row>
    <row customHeight="1" ht="27">
      <c r="A56" s="839"/>
      <c r="B56" s="893">
        <v>39</v>
      </c>
      <c r="C56" s="837" t="s">
        <v>935</v>
      </c>
      <c r="D56" s="962"/>
      <c r="E56" s="837"/>
      <c r="F56" s="837"/>
      <c r="G56" s="837"/>
      <c r="H56" s="885"/>
      <c r="I56" s="1000" t="str">
        <f>INDEX(TEMPLATE_NUMBER_POINT_FHD,B56,MATCH(TEMPLATE_SPHERE,TEMPLATE_SPHERE_LIST_FOR_NOTE,0))</f>
        <v>5.1.1</v>
      </c>
      <c r="J56" s="1000" t="str">
        <f>INDEX(TEMPLATE_DATA_POINT_FHD,B56,MATCH(TEMPLATE_SPHERE,TEMPLATE_SPHERE_LIST_FOR_NOTE,0))</f>
        <v>Изменения стоимости основных фондов за счет их ввода в эксплуатацию</v>
      </c>
      <c r="K56" s="1000" t="str">
        <f>INDEX(TEMPLATE_NOTE_POINT_FHD,B56,MATCH(TEMPLATE_SPHERE,TEMPLATE_SPHERE_LIST_FOR_NOTE,0))</f>
        <v>Указываются изменение стоимости основных фондов за счет их ввода в эксплуатацию.</v>
      </c>
      <c r="L56" s="838" t="str">
        <f>IF(I56=0,"",I56)</f>
        <v>5.1.1</v>
      </c>
      <c r="M56" s="838" t="str">
        <f>IF(J56=0,"",J56)</f>
        <v>Изменения стоимости основных фондов за счет их ввода в эксплуатацию</v>
      </c>
      <c r="N56" s="838" t="str">
        <f>IF(K56=0,"",K56)</f>
        <v>Указываются изменение стоимости основных фондов за счет их ввода в эксплуатацию.</v>
      </c>
      <c r="O56" s="952" t="s">
        <v>1053</v>
      </c>
      <c r="P56" s="952" t="s">
        <v>669</v>
      </c>
      <c r="Q56" s="952" t="s">
        <v>669</v>
      </c>
      <c r="R56" s="952" t="s">
        <v>669</v>
      </c>
      <c r="S56" s="952"/>
      <c r="T56" s="837" t="s">
        <v>2051</v>
      </c>
      <c r="U56" s="837" t="s">
        <v>2052</v>
      </c>
      <c r="V56" s="837" t="s">
        <v>2052</v>
      </c>
      <c r="W56" s="837" t="s">
        <v>2052</v>
      </c>
      <c r="X56" s="837"/>
      <c r="Y56" s="995"/>
      <c r="Z56" s="840" t="s">
        <v>671</v>
      </c>
      <c r="AA56" s="840" t="s">
        <v>671</v>
      </c>
      <c r="AB56" s="840" t="s">
        <v>671</v>
      </c>
      <c r="AC56" s="840" t="s">
        <v>671</v>
      </c>
      <c r="AD56" s="840"/>
    </row>
    <row customHeight="1" ht="27">
      <c r="A57" s="839"/>
      <c r="B57" s="893">
        <v>40</v>
      </c>
      <c r="C57" s="837" t="s">
        <v>937</v>
      </c>
      <c r="D57" s="962"/>
      <c r="E57" s="837"/>
      <c r="F57" s="837"/>
      <c r="G57" s="837"/>
      <c r="H57" s="885"/>
      <c r="I57" s="1000" t="str">
        <f>INDEX(TEMPLATE_NUMBER_POINT_FHD,B57,MATCH(TEMPLATE_SPHERE,TEMPLATE_SPHERE_LIST_FOR_NOTE,0))</f>
        <v>5.1.2</v>
      </c>
      <c r="J57" s="1000" t="str">
        <f>INDEX(TEMPLATE_DATA_POINT_FHD,B57,MATCH(TEMPLATE_SPHERE,TEMPLATE_SPHERE_LIST_FOR_NOTE,0))</f>
        <v>Изменения стоимости основных фондов за счет их вывода в эксплуатацию</v>
      </c>
      <c r="K57" s="1000" t="str">
        <f>INDEX(TEMPLATE_NOTE_POINT_FHD,B57,MATCH(TEMPLATE_SPHERE,TEMPLATE_SPHERE_LIST_FOR_NOTE,0))</f>
        <v>Указываются изменение стоимости основных фондов за счет их вывода из эксплуатации.</v>
      </c>
      <c r="L57" s="838" t="str">
        <f>IF(I57=0,"",I57)</f>
        <v>5.1.2</v>
      </c>
      <c r="M57" s="838" t="str">
        <f>IF(J57=0,"",J57)</f>
        <v>Изменения стоимости основных фондов за счет их вывода в эксплуатацию</v>
      </c>
      <c r="N57" s="838" t="str">
        <f>IF(K57=0,"",K57)</f>
        <v>Указываются изменение стоимости основных фондов за счет их вывода из эксплуатации.</v>
      </c>
      <c r="O57" s="952" t="s">
        <v>2053</v>
      </c>
      <c r="P57" s="952" t="s">
        <v>672</v>
      </c>
      <c r="Q57" s="952" t="s">
        <v>672</v>
      </c>
      <c r="R57" s="952" t="s">
        <v>672</v>
      </c>
      <c r="S57" s="952"/>
      <c r="T57" s="837" t="s">
        <v>2054</v>
      </c>
      <c r="U57" s="837" t="s">
        <v>2055</v>
      </c>
      <c r="V57" s="837" t="s">
        <v>2055</v>
      </c>
      <c r="W57" s="837" t="s">
        <v>2055</v>
      </c>
      <c r="X57" s="837"/>
      <c r="Y57" s="995"/>
      <c r="Z57" s="840" t="s">
        <v>674</v>
      </c>
      <c r="AA57" s="840" t="s">
        <v>674</v>
      </c>
      <c r="AB57" s="840" t="s">
        <v>674</v>
      </c>
      <c r="AC57" s="840" t="s">
        <v>674</v>
      </c>
      <c r="AD57" s="840"/>
    </row>
    <row customHeight="1" ht="18">
      <c r="A58" s="839"/>
      <c r="B58" s="893">
        <v>41</v>
      </c>
      <c r="C58" s="837">
        <v>2</v>
      </c>
      <c r="D58" s="962"/>
      <c r="E58" s="837"/>
      <c r="F58" s="837"/>
      <c r="G58" s="837"/>
      <c r="H58" s="885"/>
      <c r="I58" s="1000" t="str">
        <f>INDEX(TEMPLATE_NUMBER_POINT_FHD,B58,MATCH(TEMPLATE_SPHERE,TEMPLATE_SPHERE_LIST_FOR_NOTE,0))</f>
        <v>5.2</v>
      </c>
      <c r="J58" s="1000" t="str">
        <f>INDEX(TEMPLATE_DATA_POINT_FHD,B58,MATCH(TEMPLATE_SPHERE,TEMPLATE_SPHERE_LIST_FOR_NOTE,0))</f>
        <v>Изменение стоимости основных фондов за счет их переоценки</v>
      </c>
      <c r="K58" s="1000">
        <f>INDEX(TEMPLATE_NOTE_POINT_FHD,B58,MATCH(TEMPLATE_SPHERE,TEMPLATE_SPHERE_LIST_FOR_NOTE,0))</f>
        <v>0</v>
      </c>
      <c r="L58" s="838" t="str">
        <f>IF(I58=0,"",I58)</f>
        <v>5.2</v>
      </c>
      <c r="M58" s="838" t="str">
        <f>IF(J58=0,"",J58)</f>
        <v>Изменение стоимости основных фондов за счет их переоценки</v>
      </c>
      <c r="N58" s="838" t="str">
        <f>IF(K58=0,"",K58)</f>
        <v/>
      </c>
      <c r="O58" s="952" t="s">
        <v>322</v>
      </c>
      <c r="P58" s="952" t="s">
        <v>709</v>
      </c>
      <c r="Q58" s="952" t="s">
        <v>709</v>
      </c>
      <c r="R58" s="952" t="s">
        <v>709</v>
      </c>
      <c r="S58" s="952"/>
      <c r="T58" s="837" t="s">
        <v>2056</v>
      </c>
      <c r="U58" s="837" t="s">
        <v>2056</v>
      </c>
      <c r="V58" s="837" t="s">
        <v>2056</v>
      </c>
      <c r="W58" s="837" t="s">
        <v>2056</v>
      </c>
      <c r="X58" s="837"/>
      <c r="Y58" s="995"/>
      <c r="Z58" s="840"/>
      <c r="AA58" s="843"/>
      <c r="AB58" s="840"/>
      <c r="AC58" s="840"/>
      <c r="AD58" s="840"/>
    </row>
    <row customHeight="1" ht="36">
      <c r="A59" s="839"/>
      <c r="B59" s="893">
        <v>42</v>
      </c>
      <c r="C59" s="837">
        <v>3</v>
      </c>
      <c r="D59" s="962" t="s">
        <v>2041</v>
      </c>
      <c r="E59" s="837" t="s">
        <v>2041</v>
      </c>
      <c r="F59" s="837" t="s">
        <v>2041</v>
      </c>
      <c r="G59" s="837"/>
      <c r="H59" s="885"/>
      <c r="I59" s="1000">
        <f>INDEX(TEMPLATE_NUMBER_POINT_FHD,B59,MATCH(TEMPLATE_SPHERE,TEMPLATE_SPHERE_LIST_FOR_NOTE,0))</f>
        <v>0</v>
      </c>
      <c r="J59" s="1000">
        <f>INDEX(TEMPLATE_DATA_POINT_FHD,B59,MATCH(TEMPLATE_SPHERE,TEMPLATE_SPHERE_LIST_FOR_NOTE,0))</f>
        <v>0</v>
      </c>
      <c r="K59" s="1000">
        <f>INDEX(TEMPLATE_NOTE_POINT_FHD,B59,MATCH(TEMPLATE_SPHERE,TEMPLATE_SPHERE_LIST_FOR_NOTE,0))</f>
        <v>0</v>
      </c>
      <c r="L59" s="838" t="str">
        <f>IF(I59=0,"",I59)</f>
        <v/>
      </c>
      <c r="M59" s="838" t="str">
        <f>IF(J59=0,"",J59)</f>
        <v/>
      </c>
      <c r="N59" s="838" t="str">
        <f>IF(K59=0,"",K59)</f>
        <v/>
      </c>
      <c r="O59" s="952"/>
      <c r="P59" s="952" t="s">
        <v>110</v>
      </c>
      <c r="Q59" s="952" t="s">
        <v>110</v>
      </c>
      <c r="R59" s="952" t="s">
        <v>110</v>
      </c>
      <c r="S59" s="952"/>
      <c r="T59" s="837"/>
      <c r="U59" s="837" t="s">
        <v>2057</v>
      </c>
      <c r="V59" s="837" t="s">
        <v>2058</v>
      </c>
      <c r="W59" s="837" t="s">
        <v>2059</v>
      </c>
      <c r="X59" s="837"/>
      <c r="Y59" s="995"/>
      <c r="Z59" s="840"/>
      <c r="AA59" s="843"/>
      <c r="AB59" s="840"/>
      <c r="AC59" s="840"/>
      <c r="AD59" s="840"/>
    </row>
    <row customHeight="1" ht="81">
      <c r="A60" s="839"/>
      <c r="B60" s="893">
        <v>43</v>
      </c>
      <c r="C60" s="837" t="s">
        <v>2060</v>
      </c>
      <c r="D60" s="962" t="s">
        <v>2060</v>
      </c>
      <c r="E60" s="837" t="s">
        <v>2060</v>
      </c>
      <c r="F60" s="837" t="s">
        <v>2060</v>
      </c>
      <c r="G60" s="837"/>
      <c r="H60" s="885"/>
      <c r="I60" s="1000" t="str">
        <f>INDEX(TEMPLATE_NUMBER_POINT_FHD,B60,MATCH(TEMPLATE_SPHERE,TEMPLATE_SPHERE_LIST_FOR_NOTE,0))</f>
        <v>6</v>
      </c>
      <c r="J60" s="1000"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0"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38" t="str">
        <f>IF(I60=0,"",I60)</f>
        <v>6</v>
      </c>
      <c r="M60" s="838" t="str">
        <f>IF(J60=0,"",J60)</f>
        <v>Годовая бухгалтерская (финансовая) отчетность, включая бухгалтерский баланс и приложения к нему</v>
      </c>
      <c r="N60" s="838"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2" t="s">
        <v>91</v>
      </c>
      <c r="P60" s="952" t="s">
        <v>91</v>
      </c>
      <c r="Q60" s="952" t="s">
        <v>91</v>
      </c>
      <c r="R60" s="952" t="s">
        <v>91</v>
      </c>
      <c r="S60" s="952"/>
      <c r="T60" s="837" t="s">
        <v>678</v>
      </c>
      <c r="U60" s="837" t="s">
        <v>678</v>
      </c>
      <c r="V60" s="837" t="s">
        <v>678</v>
      </c>
      <c r="W60" s="837" t="s">
        <v>678</v>
      </c>
      <c r="X60" s="837"/>
      <c r="Y60" s="995"/>
      <c r="Z60" s="840" t="s">
        <v>2061</v>
      </c>
      <c r="AA60" s="843" t="s">
        <v>2062</v>
      </c>
      <c r="AB60" s="840" t="s">
        <v>2063</v>
      </c>
      <c r="AC60" s="840" t="s">
        <v>2062</v>
      </c>
      <c r="AD60" s="840"/>
    </row>
    <row customHeight="1" ht="9">
      <c r="A61" s="839"/>
      <c r="B61" s="893">
        <v>44</v>
      </c>
      <c r="C61" s="837"/>
      <c r="D61" s="962" t="s">
        <v>2064</v>
      </c>
      <c r="E61" s="837"/>
      <c r="F61" s="837"/>
      <c r="G61" s="837"/>
      <c r="H61" s="885"/>
      <c r="I61" s="1000">
        <f>INDEX(TEMPLATE_NUMBER_POINT_FHD,B61,MATCH(TEMPLATE_SPHERE,TEMPLATE_SPHERE_LIST_FOR_NOTE,0))</f>
        <v>0</v>
      </c>
      <c r="J61" s="1000">
        <f>INDEX(TEMPLATE_DATA_POINT_FHD,B61,MATCH(TEMPLATE_SPHERE,TEMPLATE_SPHERE_LIST_FOR_NOTE,0))</f>
        <v>0</v>
      </c>
      <c r="K61" s="1000">
        <f>INDEX(TEMPLATE_NOTE_POINT_FHD,B61,MATCH(TEMPLATE_SPHERE,TEMPLATE_SPHERE_LIST_FOR_NOTE,0))</f>
        <v>0</v>
      </c>
      <c r="L61" s="838" t="str">
        <f>IF(I61=0,"",I61)</f>
        <v/>
      </c>
      <c r="M61" s="838" t="str">
        <f>IF(J61=0,"",J61)</f>
        <v/>
      </c>
      <c r="N61" s="838" t="str">
        <f>IF(K61=0,"",K61)</f>
        <v/>
      </c>
      <c r="O61" s="952"/>
      <c r="P61" s="952" t="s">
        <v>92</v>
      </c>
      <c r="Q61" s="952"/>
      <c r="R61" s="952"/>
      <c r="S61" s="952"/>
      <c r="T61" s="837"/>
      <c r="U61" s="837" t="s">
        <v>2065</v>
      </c>
      <c r="V61" s="837"/>
      <c r="W61" s="837"/>
      <c r="X61" s="837"/>
      <c r="Y61" s="995"/>
      <c r="Z61" s="840"/>
      <c r="AA61" s="843"/>
      <c r="AB61" s="840"/>
      <c r="AC61" s="840"/>
      <c r="AD61" s="840"/>
    </row>
    <row customHeight="1" ht="9">
      <c r="A62" s="839"/>
      <c r="B62" s="893">
        <v>45</v>
      </c>
      <c r="C62" s="837"/>
      <c r="D62" s="962" t="s">
        <v>2066</v>
      </c>
      <c r="E62" s="837"/>
      <c r="F62" s="837"/>
      <c r="G62" s="837"/>
      <c r="H62" s="885"/>
      <c r="I62" s="1000">
        <f>INDEX(TEMPLATE_NUMBER_POINT_FHD,B62,MATCH(TEMPLATE_SPHERE,TEMPLATE_SPHERE_LIST_FOR_NOTE,0))</f>
        <v>0</v>
      </c>
      <c r="J62" s="1000">
        <f>INDEX(TEMPLATE_DATA_POINT_FHD,B62,MATCH(TEMPLATE_SPHERE,TEMPLATE_SPHERE_LIST_FOR_NOTE,0))</f>
        <v>0</v>
      </c>
      <c r="K62" s="1000">
        <f>INDEX(TEMPLATE_NOTE_POINT_FHD,B62,MATCH(TEMPLATE_SPHERE,TEMPLATE_SPHERE_LIST_FOR_NOTE,0))</f>
        <v>0</v>
      </c>
      <c r="L62" s="838" t="str">
        <f>IF(I62=0,"",I62)</f>
        <v/>
      </c>
      <c r="M62" s="838" t="str">
        <f>IF(J62=0,"",J62)</f>
        <v/>
      </c>
      <c r="N62" s="838" t="str">
        <f>IF(K62=0,"",K62)</f>
        <v/>
      </c>
      <c r="O62" s="952"/>
      <c r="P62" s="952" t="s">
        <v>111</v>
      </c>
      <c r="Q62" s="952"/>
      <c r="R62" s="952"/>
      <c r="S62" s="952"/>
      <c r="T62" s="837"/>
      <c r="U62" s="837" t="s">
        <v>2067</v>
      </c>
      <c r="V62" s="837"/>
      <c r="W62" s="837"/>
      <c r="X62" s="837"/>
      <c r="Y62" s="995"/>
      <c r="Z62" s="840"/>
      <c r="AA62" s="843"/>
      <c r="AB62" s="840"/>
      <c r="AC62" s="840"/>
      <c r="AD62" s="840"/>
    </row>
    <row customHeight="1" ht="18">
      <c r="A63" s="839"/>
      <c r="B63" s="893">
        <v>46</v>
      </c>
      <c r="C63" s="837"/>
      <c r="D63" s="962" t="s">
        <v>2068</v>
      </c>
      <c r="E63" s="837"/>
      <c r="F63" s="837"/>
      <c r="G63" s="837"/>
      <c r="H63" s="885"/>
      <c r="I63" s="1000">
        <f>INDEX(TEMPLATE_NUMBER_POINT_FHD,B63,MATCH(TEMPLATE_SPHERE,TEMPLATE_SPHERE_LIST_FOR_NOTE,0))</f>
        <v>0</v>
      </c>
      <c r="J63" s="1000">
        <f>INDEX(TEMPLATE_DATA_POINT_FHD,B63,MATCH(TEMPLATE_SPHERE,TEMPLATE_SPHERE_LIST_FOR_NOTE,0))</f>
        <v>0</v>
      </c>
      <c r="K63" s="1000">
        <f>INDEX(TEMPLATE_NOTE_POINT_FHD,B63,MATCH(TEMPLATE_SPHERE,TEMPLATE_SPHERE_LIST_FOR_NOTE,0))</f>
        <v>0</v>
      </c>
      <c r="L63" s="838" t="str">
        <f>IF(I63=0,"",I63)</f>
        <v/>
      </c>
      <c r="M63" s="838" t="str">
        <f>IF(J63=0,"",J63)</f>
        <v/>
      </c>
      <c r="N63" s="838" t="str">
        <f>IF(K63=0,"",K63)</f>
        <v/>
      </c>
      <c r="O63" s="952"/>
      <c r="P63" s="952" t="s">
        <v>98</v>
      </c>
      <c r="Q63" s="952"/>
      <c r="R63" s="952"/>
      <c r="S63" s="952"/>
      <c r="T63" s="837"/>
      <c r="U63" s="837" t="s">
        <v>2069</v>
      </c>
      <c r="V63" s="837"/>
      <c r="W63" s="837"/>
      <c r="X63" s="837"/>
      <c r="Y63" s="995"/>
      <c r="Z63" s="840"/>
      <c r="AA63" s="843"/>
      <c r="AB63" s="840"/>
      <c r="AC63" s="840"/>
      <c r="AD63" s="840"/>
    </row>
    <row customHeight="1" ht="18">
      <c r="A64" s="839"/>
      <c r="B64" s="893">
        <v>47</v>
      </c>
      <c r="C64" s="837"/>
      <c r="D64" s="962" t="s">
        <v>2070</v>
      </c>
      <c r="E64" s="837"/>
      <c r="F64" s="837"/>
      <c r="G64" s="837"/>
      <c r="H64" s="885"/>
      <c r="I64" s="1000">
        <f>INDEX(TEMPLATE_NUMBER_POINT_FHD,B64,MATCH(TEMPLATE_SPHERE,TEMPLATE_SPHERE_LIST_FOR_NOTE,0))</f>
        <v>0</v>
      </c>
      <c r="J64" s="1000">
        <f>INDEX(TEMPLATE_DATA_POINT_FHD,B64,MATCH(TEMPLATE_SPHERE,TEMPLATE_SPHERE_LIST_FOR_NOTE,0))</f>
        <v>0</v>
      </c>
      <c r="K64" s="1000">
        <f>INDEX(TEMPLATE_NOTE_POINT_FHD,B64,MATCH(TEMPLATE_SPHERE,TEMPLATE_SPHERE_LIST_FOR_NOTE,0))</f>
        <v>0</v>
      </c>
      <c r="L64" s="838" t="str">
        <f>IF(I64=0,"",I64)</f>
        <v/>
      </c>
      <c r="M64" s="838" t="str">
        <f>IF(J64=0,"",J64)</f>
        <v/>
      </c>
      <c r="N64" s="838" t="str">
        <f>IF(K64=0,"",K64)</f>
        <v/>
      </c>
      <c r="O64" s="952"/>
      <c r="P64" s="952" t="s">
        <v>147</v>
      </c>
      <c r="Q64" s="952"/>
      <c r="R64" s="952"/>
      <c r="S64" s="952"/>
      <c r="T64" s="837"/>
      <c r="U64" s="837" t="s">
        <v>2071</v>
      </c>
      <c r="V64" s="837"/>
      <c r="W64" s="837"/>
      <c r="X64" s="837"/>
      <c r="Y64" s="995"/>
      <c r="Z64" s="840"/>
      <c r="AA64" s="843" t="s">
        <v>2072</v>
      </c>
      <c r="AB64" s="840"/>
      <c r="AC64" s="840"/>
      <c r="AD64" s="840"/>
    </row>
    <row customHeight="1" ht="18">
      <c r="A65" s="839"/>
      <c r="B65" s="893">
        <v>48</v>
      </c>
      <c r="C65" s="837"/>
      <c r="D65" s="962"/>
      <c r="E65" s="837"/>
      <c r="F65" s="837"/>
      <c r="G65" s="837"/>
      <c r="H65" s="885"/>
      <c r="I65" s="1000">
        <f>INDEX(TEMPLATE_NUMBER_POINT_FHD,B65,MATCH(TEMPLATE_SPHERE,TEMPLATE_SPHERE_LIST_FOR_NOTE,0))</f>
        <v>0</v>
      </c>
      <c r="J65" s="1000">
        <f>INDEX(TEMPLATE_DATA_POINT_FHD,B65,MATCH(TEMPLATE_SPHERE,TEMPLATE_SPHERE_LIST_FOR_NOTE,0))</f>
        <v>0</v>
      </c>
      <c r="K65" s="1000">
        <f>INDEX(TEMPLATE_NOTE_POINT_FHD,B65,MATCH(TEMPLATE_SPHERE,TEMPLATE_SPHERE_LIST_FOR_NOTE,0))</f>
        <v>0</v>
      </c>
      <c r="L65" s="838" t="str">
        <f>IF(I65=0,"",I65)</f>
        <v/>
      </c>
      <c r="M65" s="838" t="str">
        <f>IF(J65=0,"",J65)</f>
        <v/>
      </c>
      <c r="N65" s="838" t="str">
        <f>IF(K65=0,"",K65)</f>
        <v/>
      </c>
      <c r="O65" s="952"/>
      <c r="P65" s="952" t="s">
        <v>1982</v>
      </c>
      <c r="Q65" s="952"/>
      <c r="R65" s="952"/>
      <c r="S65" s="952"/>
      <c r="T65" s="837"/>
      <c r="U65" s="837" t="s">
        <v>2073</v>
      </c>
      <c r="V65" s="837"/>
      <c r="W65" s="837"/>
      <c r="X65" s="837"/>
      <c r="Y65" s="995"/>
      <c r="Z65" s="840"/>
      <c r="AA65" s="843"/>
      <c r="AB65" s="840"/>
      <c r="AC65" s="840"/>
      <c r="AD65" s="840"/>
    </row>
    <row customHeight="1" ht="18">
      <c r="A66" s="839"/>
      <c r="B66" s="893">
        <v>49</v>
      </c>
      <c r="C66" s="837"/>
      <c r="D66" s="962"/>
      <c r="E66" s="837"/>
      <c r="F66" s="837"/>
      <c r="G66" s="837"/>
      <c r="H66" s="885"/>
      <c r="I66" s="1000">
        <f>INDEX(TEMPLATE_NUMBER_POINT_FHD,B66,MATCH(TEMPLATE_SPHERE,TEMPLATE_SPHERE_LIST_FOR_NOTE,0))</f>
        <v>0</v>
      </c>
      <c r="J66" s="1000">
        <f>INDEX(TEMPLATE_DATA_POINT_FHD,B66,MATCH(TEMPLATE_SPHERE,TEMPLATE_SPHERE_LIST_FOR_NOTE,0))</f>
        <v>0</v>
      </c>
      <c r="K66" s="1000">
        <f>INDEX(TEMPLATE_NOTE_POINT_FHD,B66,MATCH(TEMPLATE_SPHERE,TEMPLATE_SPHERE_LIST_FOR_NOTE,0))</f>
        <v>0</v>
      </c>
      <c r="L66" s="838" t="str">
        <f>IF(I66=0,"",I66)</f>
        <v/>
      </c>
      <c r="M66" s="838" t="str">
        <f>IF(J66=0,"",J66)</f>
        <v/>
      </c>
      <c r="N66" s="838" t="str">
        <f>IF(K66=0,"",K66)</f>
        <v/>
      </c>
      <c r="O66" s="952"/>
      <c r="P66" s="952" t="s">
        <v>1986</v>
      </c>
      <c r="Q66" s="952"/>
      <c r="R66" s="952"/>
      <c r="S66" s="952"/>
      <c r="T66" s="837"/>
      <c r="U66" s="837" t="s">
        <v>2074</v>
      </c>
      <c r="V66" s="837"/>
      <c r="W66" s="837"/>
      <c r="X66" s="837"/>
      <c r="Y66" s="995"/>
      <c r="Z66" s="840"/>
      <c r="AA66" s="843"/>
      <c r="AB66" s="840"/>
      <c r="AC66" s="840"/>
      <c r="AD66" s="840"/>
    </row>
    <row customHeight="1" ht="27">
      <c r="A67" s="839"/>
      <c r="B67" s="893">
        <v>50</v>
      </c>
      <c r="C67" s="837"/>
      <c r="D67" s="962"/>
      <c r="E67" s="837"/>
      <c r="F67" s="837"/>
      <c r="G67" s="837"/>
      <c r="H67" s="885"/>
      <c r="I67" s="1000">
        <f>INDEX(TEMPLATE_NUMBER_POINT_FHD,B67,MATCH(TEMPLATE_SPHERE,TEMPLATE_SPHERE_LIST_FOR_NOTE,0))</f>
        <v>0</v>
      </c>
      <c r="J67" s="1000">
        <f>INDEX(TEMPLATE_DATA_POINT_FHD,B67,MATCH(TEMPLATE_SPHERE,TEMPLATE_SPHERE_LIST_FOR_NOTE,0))</f>
        <v>0</v>
      </c>
      <c r="K67" s="1000">
        <f>INDEX(TEMPLATE_NOTE_POINT_FHD,B67,MATCH(TEMPLATE_SPHERE,TEMPLATE_SPHERE_LIST_FOR_NOTE,0))</f>
        <v>0</v>
      </c>
      <c r="L67" s="838" t="str">
        <f>IF(I67=0,"",I67)</f>
        <v/>
      </c>
      <c r="M67" s="838" t="str">
        <f>IF(J67=0,"",J67)</f>
        <v/>
      </c>
      <c r="N67" s="838" t="str">
        <f>IF(K67=0,"",K67)</f>
        <v/>
      </c>
      <c r="O67" s="952"/>
      <c r="P67" s="952" t="s">
        <v>2075</v>
      </c>
      <c r="Q67" s="952"/>
      <c r="R67" s="952"/>
      <c r="S67" s="952"/>
      <c r="T67" s="837"/>
      <c r="U67" s="837" t="s">
        <v>2076</v>
      </c>
      <c r="V67" s="837"/>
      <c r="W67" s="837"/>
      <c r="X67" s="837"/>
      <c r="Y67" s="995"/>
      <c r="Z67" s="840"/>
      <c r="AA67" s="843"/>
      <c r="AB67" s="840"/>
      <c r="AC67" s="840"/>
      <c r="AD67" s="840"/>
    </row>
    <row customHeight="1" ht="27">
      <c r="A68" s="839"/>
      <c r="B68" s="893">
        <v>51</v>
      </c>
      <c r="C68" s="837"/>
      <c r="D68" s="962"/>
      <c r="E68" s="837"/>
      <c r="F68" s="837"/>
      <c r="G68" s="837"/>
      <c r="H68" s="885"/>
      <c r="I68" s="1000">
        <f>INDEX(TEMPLATE_NUMBER_POINT_FHD,B68,MATCH(TEMPLATE_SPHERE,TEMPLATE_SPHERE_LIST_FOR_NOTE,0))</f>
        <v>0</v>
      </c>
      <c r="J68" s="1000">
        <f>INDEX(TEMPLATE_DATA_POINT_FHD,B68,MATCH(TEMPLATE_SPHERE,TEMPLATE_SPHERE_LIST_FOR_NOTE,0))</f>
        <v>0</v>
      </c>
      <c r="K68" s="1000">
        <f>INDEX(TEMPLATE_NOTE_POINT_FHD,B68,MATCH(TEMPLATE_SPHERE,TEMPLATE_SPHERE_LIST_FOR_NOTE,0))</f>
        <v>0</v>
      </c>
      <c r="L68" s="838" t="str">
        <f>IF(I68=0,"",I68)</f>
        <v/>
      </c>
      <c r="M68" s="838" t="str">
        <f>IF(J68=0,"",J68)</f>
        <v/>
      </c>
      <c r="N68" s="838" t="str">
        <f>IF(K68=0,"",K68)</f>
        <v/>
      </c>
      <c r="O68" s="952"/>
      <c r="P68" s="952" t="s">
        <v>2077</v>
      </c>
      <c r="Q68" s="952"/>
      <c r="R68" s="952"/>
      <c r="S68" s="952"/>
      <c r="T68" s="837"/>
      <c r="U68" s="837" t="s">
        <v>2078</v>
      </c>
      <c r="V68" s="837"/>
      <c r="W68" s="837"/>
      <c r="X68" s="837"/>
      <c r="Y68" s="995"/>
      <c r="Z68" s="840"/>
      <c r="AA68" s="843"/>
      <c r="AB68" s="840"/>
      <c r="AC68" s="840"/>
      <c r="AD68" s="840"/>
    </row>
    <row customHeight="1" ht="9">
      <c r="A69" s="839"/>
      <c r="B69" s="893">
        <v>52</v>
      </c>
      <c r="C69" s="837"/>
      <c r="D69" s="962" t="s">
        <v>2079</v>
      </c>
      <c r="E69" s="837"/>
      <c r="F69" s="837"/>
      <c r="G69" s="837"/>
      <c r="H69" s="885"/>
      <c r="I69" s="1000">
        <f>INDEX(TEMPLATE_NUMBER_POINT_FHD,B69,MATCH(TEMPLATE_SPHERE,TEMPLATE_SPHERE_LIST_FOR_NOTE,0))</f>
        <v>0</v>
      </c>
      <c r="J69" s="1000">
        <f>INDEX(TEMPLATE_DATA_POINT_FHD,B69,MATCH(TEMPLATE_SPHERE,TEMPLATE_SPHERE_LIST_FOR_NOTE,0))</f>
        <v>0</v>
      </c>
      <c r="K69" s="1000">
        <f>INDEX(TEMPLATE_NOTE_POINT_FHD,B69,MATCH(TEMPLATE_SPHERE,TEMPLATE_SPHERE_LIST_FOR_NOTE,0))</f>
        <v>0</v>
      </c>
      <c r="L69" s="838" t="str">
        <f>IF(I69=0,"",I69)</f>
        <v/>
      </c>
      <c r="M69" s="838" t="str">
        <f>IF(J69=0,"",J69)</f>
        <v/>
      </c>
      <c r="N69" s="838" t="str">
        <f>IF(K69=0,"",K69)</f>
        <v/>
      </c>
      <c r="O69" s="952"/>
      <c r="P69" s="952" t="s">
        <v>148</v>
      </c>
      <c r="Q69" s="952"/>
      <c r="R69" s="952"/>
      <c r="S69" s="952"/>
      <c r="T69" s="837"/>
      <c r="U69" s="837" t="s">
        <v>2080</v>
      </c>
      <c r="V69" s="837"/>
      <c r="W69" s="837"/>
      <c r="X69" s="837"/>
      <c r="Y69" s="995"/>
      <c r="Z69" s="840"/>
      <c r="AA69" s="843"/>
      <c r="AB69" s="840"/>
      <c r="AC69" s="840"/>
      <c r="AD69" s="840"/>
    </row>
    <row customHeight="1" ht="27">
      <c r="A70" s="839"/>
      <c r="B70" s="893">
        <v>53</v>
      </c>
      <c r="C70" s="837"/>
      <c r="D70" s="962"/>
      <c r="E70" s="837" t="s">
        <v>2064</v>
      </c>
      <c r="F70" s="837"/>
      <c r="G70" s="837"/>
      <c r="H70" s="885"/>
      <c r="I70" s="1000">
        <f>INDEX(TEMPLATE_NUMBER_POINT_FHD,B70,MATCH(TEMPLATE_SPHERE,TEMPLATE_SPHERE_LIST_FOR_NOTE,0))</f>
        <v>0</v>
      </c>
      <c r="J70" s="1000">
        <f>INDEX(TEMPLATE_DATA_POINT_FHD,B70,MATCH(TEMPLATE_SPHERE,TEMPLATE_SPHERE_LIST_FOR_NOTE,0))</f>
        <v>0</v>
      </c>
      <c r="K70" s="1000">
        <f>INDEX(TEMPLATE_NOTE_POINT_FHD,B70,MATCH(TEMPLATE_SPHERE,TEMPLATE_SPHERE_LIST_FOR_NOTE,0))</f>
        <v>0</v>
      </c>
      <c r="L70" s="838" t="str">
        <f>IF(I70=0,"",I70)</f>
        <v/>
      </c>
      <c r="M70" s="838" t="str">
        <f>IF(J70=0,"",J70)</f>
        <v/>
      </c>
      <c r="N70" s="838" t="str">
        <f>IF(K70=0,"",K70)</f>
        <v/>
      </c>
      <c r="O70" s="952"/>
      <c r="P70" s="952"/>
      <c r="Q70" s="952" t="s">
        <v>92</v>
      </c>
      <c r="R70" s="952"/>
      <c r="S70" s="952"/>
      <c r="T70" s="837"/>
      <c r="U70" s="837"/>
      <c r="V70" s="837" t="s">
        <v>2081</v>
      </c>
      <c r="W70" s="837"/>
      <c r="X70" s="837"/>
      <c r="Y70" s="995"/>
      <c r="Z70" s="840"/>
      <c r="AA70" s="843"/>
      <c r="AB70" s="840"/>
      <c r="AC70" s="840"/>
      <c r="AD70" s="840"/>
    </row>
    <row customHeight="1" ht="36">
      <c r="A71" s="839"/>
      <c r="B71" s="893">
        <v>54</v>
      </c>
      <c r="C71" s="837"/>
      <c r="D71" s="962"/>
      <c r="E71" s="837" t="s">
        <v>2066</v>
      </c>
      <c r="F71" s="837"/>
      <c r="G71" s="837"/>
      <c r="H71" s="885"/>
      <c r="I71" s="1000">
        <f>INDEX(TEMPLATE_NUMBER_POINT_FHD,B71,MATCH(TEMPLATE_SPHERE,TEMPLATE_SPHERE_LIST_FOR_NOTE,0))</f>
        <v>0</v>
      </c>
      <c r="J71" s="1000">
        <f>INDEX(TEMPLATE_DATA_POINT_FHD,B71,MATCH(TEMPLATE_SPHERE,TEMPLATE_SPHERE_LIST_FOR_NOTE,0))</f>
        <v>0</v>
      </c>
      <c r="K71" s="1000">
        <f>INDEX(TEMPLATE_NOTE_POINT_FHD,B71,MATCH(TEMPLATE_SPHERE,TEMPLATE_SPHERE_LIST_FOR_NOTE,0))</f>
        <v>0</v>
      </c>
      <c r="L71" s="838" t="str">
        <f>IF(I71=0,"",I71)</f>
        <v/>
      </c>
      <c r="M71" s="838" t="str">
        <f>IF(J71=0,"",J71)</f>
        <v/>
      </c>
      <c r="N71" s="838" t="str">
        <f>IF(K71=0,"",K71)</f>
        <v/>
      </c>
      <c r="O71" s="952"/>
      <c r="P71" s="952"/>
      <c r="Q71" s="952" t="s">
        <v>111</v>
      </c>
      <c r="R71" s="952"/>
      <c r="S71" s="952"/>
      <c r="T71" s="837"/>
      <c r="U71" s="837"/>
      <c r="V71" s="837" t="s">
        <v>2082</v>
      </c>
      <c r="W71" s="837"/>
      <c r="X71" s="837"/>
      <c r="Y71" s="995"/>
      <c r="Z71" s="840"/>
      <c r="AA71" s="843"/>
      <c r="AB71" s="840"/>
      <c r="AC71" s="840"/>
      <c r="AD71" s="840"/>
    </row>
    <row customHeight="1" ht="27">
      <c r="A72" s="839"/>
      <c r="B72" s="893">
        <v>55</v>
      </c>
      <c r="C72" s="837"/>
      <c r="D72" s="962"/>
      <c r="E72" s="837" t="s">
        <v>2068</v>
      </c>
      <c r="F72" s="837"/>
      <c r="G72" s="837"/>
      <c r="H72" s="885"/>
      <c r="I72" s="1000">
        <f>INDEX(TEMPLATE_NUMBER_POINT_FHD,B72,MATCH(TEMPLATE_SPHERE,TEMPLATE_SPHERE_LIST_FOR_NOTE,0))</f>
        <v>0</v>
      </c>
      <c r="J72" s="1000">
        <f>INDEX(TEMPLATE_DATA_POINT_FHD,B72,MATCH(TEMPLATE_SPHERE,TEMPLATE_SPHERE_LIST_FOR_NOTE,0))</f>
        <v>0</v>
      </c>
      <c r="K72" s="1000">
        <f>INDEX(TEMPLATE_NOTE_POINT_FHD,B72,MATCH(TEMPLATE_SPHERE,TEMPLATE_SPHERE_LIST_FOR_NOTE,0))</f>
        <v>0</v>
      </c>
      <c r="L72" s="838" t="str">
        <f>IF(I72=0,"",I72)</f>
        <v/>
      </c>
      <c r="M72" s="838" t="str">
        <f>IF(J72=0,"",J72)</f>
        <v/>
      </c>
      <c r="N72" s="838" t="str">
        <f>IF(K72=0,"",K72)</f>
        <v/>
      </c>
      <c r="O72" s="952"/>
      <c r="P72" s="952"/>
      <c r="Q72" s="952" t="s">
        <v>98</v>
      </c>
      <c r="R72" s="952"/>
      <c r="S72" s="952"/>
      <c r="T72" s="837"/>
      <c r="U72" s="837"/>
      <c r="V72" s="837" t="s">
        <v>2083</v>
      </c>
      <c r="W72" s="837"/>
      <c r="X72" s="837"/>
      <c r="Y72" s="995"/>
      <c r="Z72" s="840"/>
      <c r="AA72" s="843"/>
      <c r="AB72" s="840"/>
      <c r="AC72" s="840"/>
      <c r="AD72" s="840"/>
    </row>
    <row customHeight="1" ht="36">
      <c r="A73" s="839"/>
      <c r="B73" s="893">
        <v>56</v>
      </c>
      <c r="C73" s="837"/>
      <c r="D73" s="962"/>
      <c r="E73" s="837" t="s">
        <v>2070</v>
      </c>
      <c r="F73" s="837"/>
      <c r="G73" s="837"/>
      <c r="H73" s="885"/>
      <c r="I73" s="1000">
        <f>INDEX(TEMPLATE_NUMBER_POINT_FHD,B73,MATCH(TEMPLATE_SPHERE,TEMPLATE_SPHERE_LIST_FOR_NOTE,0))</f>
        <v>0</v>
      </c>
      <c r="J73" s="1000">
        <f>INDEX(TEMPLATE_DATA_POINT_FHD,B73,MATCH(TEMPLATE_SPHERE,TEMPLATE_SPHERE_LIST_FOR_NOTE,0))</f>
        <v>0</v>
      </c>
      <c r="K73" s="1000">
        <f>INDEX(TEMPLATE_NOTE_POINT_FHD,B73,MATCH(TEMPLATE_SPHERE,TEMPLATE_SPHERE_LIST_FOR_NOTE,0))</f>
        <v>0</v>
      </c>
      <c r="L73" s="838" t="str">
        <f>IF(I73=0,"",I73)</f>
        <v/>
      </c>
      <c r="M73" s="838" t="str">
        <f>IF(J73=0,"",J73)</f>
        <v/>
      </c>
      <c r="N73" s="838" t="str">
        <f>IF(K73=0,"",K73)</f>
        <v/>
      </c>
      <c r="O73" s="952"/>
      <c r="P73" s="952"/>
      <c r="Q73" s="952" t="s">
        <v>147</v>
      </c>
      <c r="R73" s="952"/>
      <c r="S73" s="952"/>
      <c r="T73" s="837"/>
      <c r="U73" s="837"/>
      <c r="V73" s="837" t="s">
        <v>2084</v>
      </c>
      <c r="W73" s="837"/>
      <c r="X73" s="837"/>
      <c r="Y73" s="995"/>
      <c r="Z73" s="840"/>
      <c r="AA73" s="843"/>
      <c r="AB73" s="840"/>
      <c r="AC73" s="840"/>
      <c r="AD73" s="840"/>
    </row>
    <row customHeight="1" ht="18">
      <c r="A74" s="839"/>
      <c r="B74" s="893">
        <v>57</v>
      </c>
      <c r="C74" s="837"/>
      <c r="D74" s="962"/>
      <c r="E74" s="837" t="s">
        <v>2079</v>
      </c>
      <c r="F74" s="837"/>
      <c r="G74" s="837"/>
      <c r="H74" s="885"/>
      <c r="I74" s="1000">
        <f>INDEX(TEMPLATE_NUMBER_POINT_FHD,B74,MATCH(TEMPLATE_SPHERE,TEMPLATE_SPHERE_LIST_FOR_NOTE,0))</f>
        <v>0</v>
      </c>
      <c r="J74" s="1000">
        <f>INDEX(TEMPLATE_DATA_POINT_FHD,B74,MATCH(TEMPLATE_SPHERE,TEMPLATE_SPHERE_LIST_FOR_NOTE,0))</f>
        <v>0</v>
      </c>
      <c r="K74" s="1000">
        <f>INDEX(TEMPLATE_NOTE_POINT_FHD,B74,MATCH(TEMPLATE_SPHERE,TEMPLATE_SPHERE_LIST_FOR_NOTE,0))</f>
        <v>0</v>
      </c>
      <c r="L74" s="838" t="str">
        <f>IF(I74=0,"",I74)</f>
        <v/>
      </c>
      <c r="M74" s="838" t="str">
        <f>IF(J74=0,"",J74)</f>
        <v/>
      </c>
      <c r="N74" s="838" t="str">
        <f>IF(K74=0,"",K74)</f>
        <v/>
      </c>
      <c r="O74" s="952"/>
      <c r="P74" s="952"/>
      <c r="Q74" s="952" t="s">
        <v>148</v>
      </c>
      <c r="R74" s="952"/>
      <c r="S74" s="952"/>
      <c r="T74" s="837"/>
      <c r="U74" s="837"/>
      <c r="V74" s="837" t="s">
        <v>2085</v>
      </c>
      <c r="W74" s="837"/>
      <c r="X74" s="837"/>
      <c r="Y74" s="995"/>
      <c r="Z74" s="840"/>
      <c r="AA74" s="843"/>
      <c r="AB74" s="840"/>
      <c r="AC74" s="840"/>
      <c r="AD74" s="840"/>
    </row>
    <row customHeight="1" ht="18">
      <c r="A75" s="839"/>
      <c r="B75" s="893">
        <v>58</v>
      </c>
      <c r="C75" s="837"/>
      <c r="D75" s="962"/>
      <c r="E75" s="837"/>
      <c r="F75" s="837" t="s">
        <v>2064</v>
      </c>
      <c r="G75" s="837"/>
      <c r="H75" s="885"/>
      <c r="I75" s="1000">
        <f>INDEX(TEMPLATE_NUMBER_POINT_FHD,B75,MATCH(TEMPLATE_SPHERE,TEMPLATE_SPHERE_LIST_FOR_NOTE,0))</f>
        <v>0</v>
      </c>
      <c r="J75" s="1000">
        <f>INDEX(TEMPLATE_DATA_POINT_FHD,B75,MATCH(TEMPLATE_SPHERE,TEMPLATE_SPHERE_LIST_FOR_NOTE,0))</f>
        <v>0</v>
      </c>
      <c r="K75" s="1000">
        <f>INDEX(TEMPLATE_NOTE_POINT_FHD,B75,MATCH(TEMPLATE_SPHERE,TEMPLATE_SPHERE_LIST_FOR_NOTE,0))</f>
        <v>0</v>
      </c>
      <c r="L75" s="838" t="str">
        <f>IF(I75=0,"",I75)</f>
        <v/>
      </c>
      <c r="M75" s="838" t="str">
        <f>IF(J75=0,"",J75)</f>
        <v/>
      </c>
      <c r="N75" s="838" t="str">
        <f>IF(K75=0,"",K75)</f>
        <v/>
      </c>
      <c r="O75" s="952"/>
      <c r="P75" s="952"/>
      <c r="Q75" s="952"/>
      <c r="R75" s="952" t="s">
        <v>92</v>
      </c>
      <c r="S75" s="952"/>
      <c r="T75" s="837"/>
      <c r="U75" s="837"/>
      <c r="V75" s="837"/>
      <c r="W75" s="837" t="s">
        <v>2086</v>
      </c>
      <c r="X75" s="837"/>
      <c r="Y75" s="995"/>
      <c r="Z75" s="840"/>
      <c r="AA75" s="843"/>
      <c r="AB75" s="840"/>
      <c r="AC75" s="840"/>
      <c r="AD75" s="840"/>
    </row>
    <row customHeight="1" ht="36">
      <c r="A76" s="839"/>
      <c r="B76" s="893">
        <v>59</v>
      </c>
      <c r="C76" s="837"/>
      <c r="D76" s="962"/>
      <c r="E76" s="837"/>
      <c r="F76" s="837" t="s">
        <v>2066</v>
      </c>
      <c r="G76" s="837"/>
      <c r="H76" s="885"/>
      <c r="I76" s="1000">
        <f>INDEX(TEMPLATE_NUMBER_POINT_FHD,B76,MATCH(TEMPLATE_SPHERE,TEMPLATE_SPHERE_LIST_FOR_NOTE,0))</f>
        <v>0</v>
      </c>
      <c r="J76" s="1000">
        <f>INDEX(TEMPLATE_DATA_POINT_FHD,B76,MATCH(TEMPLATE_SPHERE,TEMPLATE_SPHERE_LIST_FOR_NOTE,0))</f>
        <v>0</v>
      </c>
      <c r="K76" s="1000">
        <f>INDEX(TEMPLATE_NOTE_POINT_FHD,B76,MATCH(TEMPLATE_SPHERE,TEMPLATE_SPHERE_LIST_FOR_NOTE,0))</f>
        <v>0</v>
      </c>
      <c r="L76" s="838" t="str">
        <f>IF(I76=0,"",I76)</f>
        <v/>
      </c>
      <c r="M76" s="838" t="str">
        <f>IF(J76=0,"",J76)</f>
        <v/>
      </c>
      <c r="N76" s="838" t="str">
        <f>IF(K76=0,"",K76)</f>
        <v/>
      </c>
      <c r="O76" s="952"/>
      <c r="P76" s="952"/>
      <c r="Q76" s="952"/>
      <c r="R76" s="952" t="s">
        <v>111</v>
      </c>
      <c r="S76" s="952"/>
      <c r="T76" s="837"/>
      <c r="U76" s="837"/>
      <c r="V76" s="837"/>
      <c r="W76" s="837" t="s">
        <v>2087</v>
      </c>
      <c r="X76" s="837"/>
      <c r="Y76" s="995"/>
      <c r="Z76" s="840"/>
      <c r="AA76" s="843"/>
      <c r="AB76" s="840"/>
      <c r="AC76" s="840"/>
      <c r="AD76" s="840"/>
    </row>
    <row customHeight="1" ht="18">
      <c r="A77" s="839"/>
      <c r="B77" s="893">
        <v>60</v>
      </c>
      <c r="C77" s="837"/>
      <c r="D77" s="962"/>
      <c r="E77" s="837"/>
      <c r="F77" s="837" t="s">
        <v>2068</v>
      </c>
      <c r="G77" s="837"/>
      <c r="H77" s="885"/>
      <c r="I77" s="1000">
        <f>INDEX(TEMPLATE_NUMBER_POINT_FHD,B77,MATCH(TEMPLATE_SPHERE,TEMPLATE_SPHERE_LIST_FOR_NOTE,0))</f>
        <v>0</v>
      </c>
      <c r="J77" s="1000">
        <f>INDEX(TEMPLATE_DATA_POINT_FHD,B77,MATCH(TEMPLATE_SPHERE,TEMPLATE_SPHERE_LIST_FOR_NOTE,0))</f>
        <v>0</v>
      </c>
      <c r="K77" s="1000">
        <f>INDEX(TEMPLATE_NOTE_POINT_FHD,B77,MATCH(TEMPLATE_SPHERE,TEMPLATE_SPHERE_LIST_FOR_NOTE,0))</f>
        <v>0</v>
      </c>
      <c r="L77" s="838" t="str">
        <f>IF(I77=0,"",I77)</f>
        <v/>
      </c>
      <c r="M77" s="838" t="str">
        <f>IF(J77=0,"",J77)</f>
        <v/>
      </c>
      <c r="N77" s="838" t="str">
        <f>IF(K77=0,"",K77)</f>
        <v/>
      </c>
      <c r="O77" s="952"/>
      <c r="P77" s="952"/>
      <c r="Q77" s="952"/>
      <c r="R77" s="952" t="s">
        <v>98</v>
      </c>
      <c r="S77" s="952"/>
      <c r="T77" s="837"/>
      <c r="U77" s="837"/>
      <c r="V77" s="837"/>
      <c r="W77" s="837" t="s">
        <v>2088</v>
      </c>
      <c r="X77" s="837"/>
      <c r="Y77" s="995"/>
      <c r="Z77" s="840"/>
      <c r="AA77" s="843"/>
      <c r="AB77" s="840"/>
      <c r="AC77" s="840"/>
      <c r="AD77" s="840"/>
    </row>
    <row customHeight="1" ht="72">
      <c r="A78" s="839"/>
      <c r="B78" s="893">
        <v>61</v>
      </c>
      <c r="C78" s="837" t="s">
        <v>2064</v>
      </c>
      <c r="D78" s="962"/>
      <c r="E78" s="837"/>
      <c r="F78" s="837"/>
      <c r="G78" s="837"/>
      <c r="H78" s="885"/>
      <c r="I78" s="1000" t="str">
        <f>INDEX(TEMPLATE_NUMBER_POINT_FHD,B78,MATCH(TEMPLATE_SPHERE,TEMPLATE_SPHERE_LIST_FOR_NOTE,0))</f>
        <v>7</v>
      </c>
      <c r="J78" s="1000"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0"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38" t="str">
        <f>IF(I78=0,"",I78)</f>
        <v>7</v>
      </c>
      <c r="M78" s="838"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38"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2" t="s">
        <v>92</v>
      </c>
      <c r="P78" s="952"/>
      <c r="Q78" s="952"/>
      <c r="R78" s="952"/>
      <c r="S78" s="952"/>
      <c r="T78" s="837" t="s">
        <v>2089</v>
      </c>
      <c r="U78" s="837"/>
      <c r="V78" s="837"/>
      <c r="W78" s="837"/>
      <c r="X78" s="837"/>
      <c r="Y78" s="995"/>
      <c r="Z78" s="840" t="s">
        <v>2090</v>
      </c>
      <c r="AA78" s="843"/>
      <c r="AB78" s="840"/>
      <c r="AC78" s="840"/>
      <c r="AD78" s="840"/>
    </row>
    <row customHeight="1" ht="36">
      <c r="A79" s="839"/>
      <c r="B79" s="893">
        <v>62</v>
      </c>
      <c r="C79" s="837" t="s">
        <v>2066</v>
      </c>
      <c r="D79" s="962"/>
      <c r="E79" s="837"/>
      <c r="F79" s="837"/>
      <c r="G79" s="837"/>
      <c r="H79" s="885"/>
      <c r="I79" s="1000" t="str">
        <f>INDEX(TEMPLATE_NUMBER_POINT_FHD,B79,MATCH(TEMPLATE_SPHERE,TEMPLATE_SPHERE_LIST_FOR_NOTE,0))</f>
        <v>8</v>
      </c>
      <c r="J79" s="1000"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0"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38" t="str">
        <f>IF(I79=0,"",I79)</f>
        <v>8</v>
      </c>
      <c r="M79" s="838" t="str">
        <f>IF(J79=0,"",J79)</f>
        <v>Тепловая нагрузка по договорам, заключенным в рамках осуществления регулируемых видов деятельности</v>
      </c>
      <c r="N79" s="838"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2" t="s">
        <v>111</v>
      </c>
      <c r="P79" s="952"/>
      <c r="Q79" s="952"/>
      <c r="R79" s="952"/>
      <c r="S79" s="952"/>
      <c r="T79" s="837" t="s">
        <v>2091</v>
      </c>
      <c r="U79" s="837"/>
      <c r="V79" s="837"/>
      <c r="W79" s="837"/>
      <c r="X79" s="837"/>
      <c r="Y79" s="995"/>
      <c r="Z79" s="840" t="s">
        <v>2092</v>
      </c>
      <c r="AA79" s="843"/>
      <c r="AB79" s="840"/>
      <c r="AC79" s="840"/>
      <c r="AD79" s="840"/>
    </row>
    <row customHeight="1" ht="45">
      <c r="A80" s="839"/>
      <c r="B80" s="893">
        <v>63</v>
      </c>
      <c r="C80" s="837" t="s">
        <v>2068</v>
      </c>
      <c r="D80" s="962"/>
      <c r="E80" s="837"/>
      <c r="F80" s="837"/>
      <c r="G80" s="837"/>
      <c r="H80" s="885"/>
      <c r="I80" s="1000" t="str">
        <f>INDEX(TEMPLATE_NUMBER_POINT_FHD,B80,MATCH(TEMPLATE_SPHERE,TEMPLATE_SPHERE_LIST_FOR_NOTE,0))</f>
        <v>9</v>
      </c>
      <c r="J80" s="1000"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0"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38" t="str">
        <f>IF(I80=0,"",I80)</f>
        <v>9</v>
      </c>
      <c r="M80" s="838" t="str">
        <f>IF(J80=0,"",J80)</f>
        <v>Объем вырабатываемой регулируемой организацией тепловой энергии в рамках осуществления регулируемых видов деятельности</v>
      </c>
      <c r="N80" s="838"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2" t="s">
        <v>98</v>
      </c>
      <c r="P80" s="952"/>
      <c r="Q80" s="952"/>
      <c r="R80" s="952"/>
      <c r="S80" s="952"/>
      <c r="T80" s="837" t="s">
        <v>2093</v>
      </c>
      <c r="U80" s="837"/>
      <c r="V80" s="837"/>
      <c r="W80" s="837"/>
      <c r="X80" s="837"/>
      <c r="Y80" s="995"/>
      <c r="Z80" s="840" t="s">
        <v>2094</v>
      </c>
      <c r="AA80" s="843"/>
      <c r="AB80" s="840"/>
      <c r="AC80" s="840"/>
      <c r="AD80" s="840"/>
    </row>
    <row customHeight="1" ht="36">
      <c r="A81" s="839"/>
      <c r="B81" s="893">
        <v>64</v>
      </c>
      <c r="C81" s="837" t="s">
        <v>2070</v>
      </c>
      <c r="D81" s="962"/>
      <c r="E81" s="837"/>
      <c r="F81" s="837"/>
      <c r="G81" s="837"/>
      <c r="H81" s="885"/>
      <c r="I81" s="1000" t="str">
        <f>INDEX(TEMPLATE_NUMBER_POINT_FHD,B81,MATCH(TEMPLATE_SPHERE,TEMPLATE_SPHERE_LIST_FOR_NOTE,0))</f>
        <v>9.1</v>
      </c>
      <c r="J81" s="1000"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0" t="str">
        <f>INDEX(TEMPLATE_NOTE_POINT_FHD,B81,MATCH(TEMPLATE_SPHERE,TEMPLATE_SPHERE_LIST_FOR_NOTE,0))</f>
        <v>Информация указывается только едиными теплоснабжающими организациями.</v>
      </c>
      <c r="L81" s="838" t="str">
        <f>IF(I81=0,"",I81)</f>
        <v>9.1</v>
      </c>
      <c r="M81" s="838" t="str">
        <f>IF(J81=0,"",J81)</f>
        <v>Объем приобретаемой регулируемой организацией тепловой энергии в рамках осуществления регулируемых видов деятельности</v>
      </c>
      <c r="N81" s="838" t="str">
        <f>IF(K81=0,"",K81)</f>
        <v>Информация указывается только едиными теплоснабжающими организациями.</v>
      </c>
      <c r="O81" s="952" t="s">
        <v>1973</v>
      </c>
      <c r="P81" s="952"/>
      <c r="Q81" s="952"/>
      <c r="R81" s="952"/>
      <c r="S81" s="952"/>
      <c r="T81" s="837" t="s">
        <v>2095</v>
      </c>
      <c r="U81" s="837"/>
      <c r="V81" s="837"/>
      <c r="W81" s="837"/>
      <c r="X81" s="837"/>
      <c r="Y81" s="995"/>
      <c r="Z81" s="840" t="s">
        <v>2096</v>
      </c>
      <c r="AA81" s="843"/>
      <c r="AB81" s="840"/>
      <c r="AC81" s="840"/>
      <c r="AD81" s="840"/>
    </row>
    <row customHeight="1" ht="90">
      <c r="A82" s="839"/>
      <c r="B82" s="893">
        <v>65</v>
      </c>
      <c r="C82" s="837" t="s">
        <v>2079</v>
      </c>
      <c r="D82" s="962"/>
      <c r="E82" s="837"/>
      <c r="F82" s="837"/>
      <c r="G82" s="837"/>
      <c r="H82" s="885"/>
      <c r="I82" s="1000" t="str">
        <f>INDEX(TEMPLATE_NUMBER_POINT_FHD,B82,MATCH(TEMPLATE_SPHERE,TEMPLATE_SPHERE_LIST_FOR_NOTE,0))</f>
        <v>10</v>
      </c>
      <c r="J82" s="1000"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0"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38" t="str">
        <f>IF(I82=0,"",I82)</f>
        <v>10</v>
      </c>
      <c r="M82" s="838"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38"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2" t="s">
        <v>147</v>
      </c>
      <c r="P82" s="952"/>
      <c r="Q82" s="952"/>
      <c r="R82" s="952"/>
      <c r="S82" s="952"/>
      <c r="T82" s="837" t="s">
        <v>2097</v>
      </c>
      <c r="U82" s="837"/>
      <c r="V82" s="837"/>
      <c r="W82" s="837"/>
      <c r="X82" s="837"/>
      <c r="Y82" s="995"/>
      <c r="Z82" s="840" t="s">
        <v>2098</v>
      </c>
      <c r="AA82" s="843"/>
      <c r="AB82" s="840"/>
      <c r="AC82" s="840"/>
      <c r="AD82" s="840"/>
    </row>
    <row customHeight="1" ht="9">
      <c r="A83" s="839"/>
      <c r="B83" s="893">
        <v>66</v>
      </c>
      <c r="C83" s="837"/>
      <c r="D83" s="962"/>
      <c r="E83" s="837"/>
      <c r="F83" s="837"/>
      <c r="G83" s="837"/>
      <c r="H83" s="885"/>
      <c r="I83" s="1000" t="str">
        <f>INDEX(TEMPLATE_NUMBER_POINT_FHD,B83,MATCH(TEMPLATE_SPHERE,TEMPLATE_SPHERE_LIST_FOR_NOTE,0))</f>
        <v>10.1</v>
      </c>
      <c r="J83" s="1000" t="str">
        <f>INDEX(TEMPLATE_DATA_POINT_FHD,B83,MATCH(TEMPLATE_SPHERE,TEMPLATE_SPHERE_LIST_FOR_NOTE,0))</f>
        <v>По приборам учёта </v>
      </c>
      <c r="K83" s="1000">
        <f>INDEX(TEMPLATE_NOTE_POINT_FHD,B83,MATCH(TEMPLATE_SPHERE,TEMPLATE_SPHERE_LIST_FOR_NOTE,0))</f>
        <v>0</v>
      </c>
      <c r="L83" s="838" t="str">
        <f>IF(I83=0,"",I83)</f>
        <v>10.1</v>
      </c>
      <c r="M83" s="838" t="str">
        <f>IF(J83=0,"",J83)</f>
        <v>По приборам учёта </v>
      </c>
      <c r="N83" s="838" t="str">
        <f>IF(K83=0,"",K83)</f>
        <v/>
      </c>
      <c r="O83" s="952" t="s">
        <v>1982</v>
      </c>
      <c r="P83" s="952"/>
      <c r="Q83" s="952"/>
      <c r="R83" s="952"/>
      <c r="S83" s="952"/>
      <c r="T83" s="837" t="s">
        <v>2099</v>
      </c>
      <c r="U83" s="837"/>
      <c r="V83" s="837"/>
      <c r="W83" s="837"/>
      <c r="X83" s="837"/>
      <c r="Y83" s="995"/>
      <c r="Z83" s="840"/>
      <c r="AA83" s="843"/>
      <c r="AB83" s="840"/>
      <c r="AC83" s="840"/>
      <c r="AD83" s="840"/>
    </row>
    <row customHeight="1" ht="54">
      <c r="A84" s="839"/>
      <c r="B84" s="893">
        <v>67</v>
      </c>
      <c r="C84" s="837"/>
      <c r="D84" s="962"/>
      <c r="E84" s="837"/>
      <c r="F84" s="837"/>
      <c r="G84" s="837"/>
      <c r="H84" s="885"/>
      <c r="I84" s="1000" t="str">
        <f>INDEX(TEMPLATE_NUMBER_POINT_FHD,B84,MATCH(TEMPLATE_SPHERE,TEMPLATE_SPHERE_LIST_FOR_NOTE,0))</f>
        <v>10.1.1</v>
      </c>
      <c r="J84" s="1000"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0">
        <f>INDEX(TEMPLATE_NOTE_POINT_FHD,B84,MATCH(TEMPLATE_SPHERE,TEMPLATE_SPHERE_LIST_FOR_NOTE,0))</f>
        <v>0</v>
      </c>
      <c r="L84" s="838" t="str">
        <f>IF(I84=0,"",I84)</f>
        <v>10.1.1</v>
      </c>
      <c r="M84" s="838"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38" t="str">
        <f>IF(K84=0,"",K84)</f>
        <v/>
      </c>
      <c r="O84" s="952" t="s">
        <v>2100</v>
      </c>
      <c r="P84" s="952"/>
      <c r="Q84" s="952"/>
      <c r="R84" s="952"/>
      <c r="S84" s="952"/>
      <c r="T84" s="837" t="s">
        <v>2101</v>
      </c>
      <c r="U84" s="837"/>
      <c r="V84" s="837"/>
      <c r="W84" s="837"/>
      <c r="X84" s="837"/>
      <c r="Y84" s="995"/>
      <c r="Z84" s="840"/>
      <c r="AA84" s="843"/>
      <c r="AB84" s="840"/>
      <c r="AC84" s="840"/>
      <c r="AD84" s="840"/>
    </row>
    <row customHeight="1" ht="9">
      <c r="A85" s="839"/>
      <c r="B85" s="893">
        <v>68</v>
      </c>
      <c r="C85" s="837"/>
      <c r="D85" s="962"/>
      <c r="E85" s="837"/>
      <c r="F85" s="837"/>
      <c r="G85" s="837"/>
      <c r="H85" s="885"/>
      <c r="I85" s="1000" t="str">
        <f>INDEX(TEMPLATE_NUMBER_POINT_FHD,B85,MATCH(TEMPLATE_SPHERE,TEMPLATE_SPHERE_LIST_FOR_NOTE,0))</f>
        <v>10.2</v>
      </c>
      <c r="J85" s="1000" t="str">
        <f>INDEX(TEMPLATE_DATA_POINT_FHD,B85,MATCH(TEMPLATE_SPHERE,TEMPLATE_SPHERE_LIST_FOR_NOTE,0))</f>
        <v>Расчётным путём</v>
      </c>
      <c r="K85" s="1000">
        <f>INDEX(TEMPLATE_NOTE_POINT_FHD,B85,MATCH(TEMPLATE_SPHERE,TEMPLATE_SPHERE_LIST_FOR_NOTE,0))</f>
        <v>0</v>
      </c>
      <c r="L85" s="838" t="str">
        <f>IF(I85=0,"",I85)</f>
        <v>10.2</v>
      </c>
      <c r="M85" s="838" t="str">
        <f>IF(J85=0,"",J85)</f>
        <v>Расчётным путём</v>
      </c>
      <c r="N85" s="838" t="str">
        <f>IF(K85=0,"",K85)</f>
        <v/>
      </c>
      <c r="O85" s="952" t="s">
        <v>1986</v>
      </c>
      <c r="P85" s="952"/>
      <c r="Q85" s="952"/>
      <c r="R85" s="952"/>
      <c r="S85" s="952"/>
      <c r="T85" s="837" t="s">
        <v>2102</v>
      </c>
      <c r="U85" s="837"/>
      <c r="V85" s="837"/>
      <c r="W85" s="837"/>
      <c r="X85" s="837"/>
      <c r="Y85" s="995"/>
      <c r="Z85" s="840"/>
      <c r="AA85" s="843"/>
      <c r="AB85" s="840"/>
      <c r="AC85" s="840"/>
      <c r="AD85" s="840"/>
    </row>
    <row customHeight="1" ht="27">
      <c r="A86" s="839"/>
      <c r="B86" s="893">
        <v>69</v>
      </c>
      <c r="C86" s="837"/>
      <c r="D86" s="962"/>
      <c r="E86" s="837"/>
      <c r="F86" s="837"/>
      <c r="G86" s="837"/>
      <c r="H86" s="885"/>
      <c r="I86" s="1000" t="str">
        <f>INDEX(TEMPLATE_NUMBER_POINT_FHD,B86,MATCH(TEMPLATE_SPHERE,TEMPLATE_SPHERE_LIST_FOR_NOTE,0))</f>
        <v>10.3</v>
      </c>
      <c r="J86" s="1000" t="str">
        <f>INDEX(TEMPLATE_DATA_POINT_FHD,B86,MATCH(TEMPLATE_SPHERE,TEMPLATE_SPHERE_LIST_FOR_NOTE,0))</f>
        <v>По нормативам потребления коммунальных услуг и нормативам потребления коммунальных ресурсов</v>
      </c>
      <c r="K86" s="1000">
        <f>INDEX(TEMPLATE_NOTE_POINT_FHD,B86,MATCH(TEMPLATE_SPHERE,TEMPLATE_SPHERE_LIST_FOR_NOTE,0))</f>
        <v>0</v>
      </c>
      <c r="L86" s="838" t="str">
        <f>IF(I86=0,"",I86)</f>
        <v>10.3</v>
      </c>
      <c r="M86" s="838" t="str">
        <f>IF(J86=0,"",J86)</f>
        <v>По нормативам потребления коммунальных услуг и нормативам потребления коммунальных ресурсов</v>
      </c>
      <c r="N86" s="838" t="str">
        <f>IF(K86=0,"",K86)</f>
        <v/>
      </c>
      <c r="O86" s="952" t="s">
        <v>2103</v>
      </c>
      <c r="P86" s="952"/>
      <c r="Q86" s="952"/>
      <c r="R86" s="952"/>
      <c r="S86" s="952"/>
      <c r="T86" s="837" t="s">
        <v>2104</v>
      </c>
      <c r="U86" s="837"/>
      <c r="V86" s="837"/>
      <c r="W86" s="837"/>
      <c r="X86" s="837"/>
      <c r="Y86" s="995"/>
      <c r="Z86" s="840"/>
      <c r="AA86" s="843"/>
      <c r="AB86" s="840"/>
      <c r="AC86" s="840"/>
      <c r="AD86" s="840"/>
    </row>
    <row customHeight="1" ht="36">
      <c r="A87" s="839"/>
      <c r="B87" s="893">
        <v>70</v>
      </c>
      <c r="C87" s="837" t="s">
        <v>2105</v>
      </c>
      <c r="D87" s="962"/>
      <c r="E87" s="837"/>
      <c r="F87" s="837"/>
      <c r="G87" s="837"/>
      <c r="H87" s="885"/>
      <c r="I87" s="1000" t="str">
        <f>INDEX(TEMPLATE_NUMBER_POINT_FHD,B87,MATCH(TEMPLATE_SPHERE,TEMPLATE_SPHERE_LIST_FOR_NOTE,0))</f>
        <v>11</v>
      </c>
      <c r="J87" s="1000"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0">
        <f>INDEX(TEMPLATE_NOTE_POINT_FHD,B87,MATCH(TEMPLATE_SPHERE,TEMPLATE_SPHERE_LIST_FOR_NOTE,0))</f>
        <v>0</v>
      </c>
      <c r="L87" s="838" t="str">
        <f>IF(I87=0,"",I87)</f>
        <v>11</v>
      </c>
      <c r="M87" s="838" t="str">
        <f>IF(J87=0,"",J87)</f>
        <v>Нормативы технологических потерь при передаче тепловой энергии, теплоносителя по тепловым сетям, утвержденные уполномоченным органом</v>
      </c>
      <c r="N87" s="838" t="str">
        <f>IF(K87=0,"",K87)</f>
        <v/>
      </c>
      <c r="O87" s="952" t="s">
        <v>148</v>
      </c>
      <c r="P87" s="952"/>
      <c r="Q87" s="952"/>
      <c r="R87" s="952"/>
      <c r="S87" s="952"/>
      <c r="T87" s="837" t="s">
        <v>2106</v>
      </c>
      <c r="U87" s="837"/>
      <c r="V87" s="837"/>
      <c r="W87" s="837"/>
      <c r="X87" s="837"/>
      <c r="Y87" s="995"/>
      <c r="Z87" s="840"/>
      <c r="AA87" s="843"/>
      <c r="AB87" s="840"/>
      <c r="AC87" s="840"/>
      <c r="AD87" s="840"/>
    </row>
    <row customHeight="1" ht="18">
      <c r="A88" s="839"/>
      <c r="B88" s="893">
        <v>71</v>
      </c>
      <c r="C88" s="837" t="s">
        <v>2107</v>
      </c>
      <c r="D88" s="962"/>
      <c r="E88" s="837"/>
      <c r="F88" s="837"/>
      <c r="G88" s="837"/>
      <c r="H88" s="885"/>
      <c r="I88" s="1000" t="str">
        <f>INDEX(TEMPLATE_NUMBER_POINT_FHD,B88,MATCH(TEMPLATE_SPHERE,TEMPLATE_SPHERE_LIST_FOR_NOTE,0))</f>
        <v>12</v>
      </c>
      <c r="J88" s="1000" t="str">
        <f>INDEX(TEMPLATE_DATA_POINT_FHD,B88,MATCH(TEMPLATE_SPHERE,TEMPLATE_SPHERE_LIST_FOR_NOTE,0))</f>
        <v>Фактический объем потерь при передаче тепловой энергии</v>
      </c>
      <c r="K88" s="1000">
        <f>INDEX(TEMPLATE_NOTE_POINT_FHD,B88,MATCH(TEMPLATE_SPHERE,TEMPLATE_SPHERE_LIST_FOR_NOTE,0))</f>
        <v>0</v>
      </c>
      <c r="L88" s="838" t="str">
        <f>IF(I88=0,"",I88)</f>
        <v>12</v>
      </c>
      <c r="M88" s="838" t="str">
        <f>IF(J88=0,"",J88)</f>
        <v>Фактический объем потерь при передаче тепловой энергии</v>
      </c>
      <c r="N88" s="838" t="str">
        <f>IF(K88=0,"",K88)</f>
        <v/>
      </c>
      <c r="O88" s="952" t="s">
        <v>149</v>
      </c>
      <c r="P88" s="952"/>
      <c r="Q88" s="952"/>
      <c r="R88" s="952"/>
      <c r="S88" s="952"/>
      <c r="T88" s="837" t="s">
        <v>2108</v>
      </c>
      <c r="U88" s="837"/>
      <c r="V88" s="837"/>
      <c r="W88" s="837"/>
      <c r="X88" s="837"/>
      <c r="Y88" s="995"/>
      <c r="Z88" s="840"/>
      <c r="AA88" s="843"/>
      <c r="AB88" s="840"/>
      <c r="AC88" s="840"/>
      <c r="AD88" s="840"/>
    </row>
    <row customHeight="1" ht="18">
      <c r="A89" s="839"/>
      <c r="B89" s="893">
        <v>72</v>
      </c>
      <c r="C89" s="837" t="s">
        <v>2109</v>
      </c>
      <c r="D89" s="962" t="s">
        <v>2105</v>
      </c>
      <c r="E89" s="837" t="s">
        <v>2105</v>
      </c>
      <c r="F89" s="837" t="s">
        <v>2070</v>
      </c>
      <c r="G89" s="837"/>
      <c r="H89" s="885"/>
      <c r="I89" s="1000" t="str">
        <f>INDEX(TEMPLATE_NUMBER_POINT_FHD,B89,MATCH(TEMPLATE_SPHERE,TEMPLATE_SPHERE_LIST_FOR_NOTE,0))</f>
        <v>13</v>
      </c>
      <c r="J89" s="1000" t="str">
        <f>INDEX(TEMPLATE_DATA_POINT_FHD,B89,MATCH(TEMPLATE_SPHERE,TEMPLATE_SPHERE_LIST_FOR_NOTE,0))</f>
        <v>Среднесписочная численность основного производственного персонала</v>
      </c>
      <c r="K89" s="1000">
        <f>INDEX(TEMPLATE_NOTE_POINT_FHD,B89,MATCH(TEMPLATE_SPHERE,TEMPLATE_SPHERE_LIST_FOR_NOTE,0))</f>
        <v>0</v>
      </c>
      <c r="L89" s="838" t="str">
        <f>IF(I89=0,"",I89)</f>
        <v>13</v>
      </c>
      <c r="M89" s="838" t="str">
        <f>IF(J89=0,"",J89)</f>
        <v>Среднесписочная численность основного производственного персонала</v>
      </c>
      <c r="N89" s="838" t="str">
        <f>IF(K89=0,"",K89)</f>
        <v/>
      </c>
      <c r="O89" s="952" t="s">
        <v>150</v>
      </c>
      <c r="P89" s="952" t="s">
        <v>149</v>
      </c>
      <c r="Q89" s="952" t="s">
        <v>149</v>
      </c>
      <c r="R89" s="952" t="s">
        <v>147</v>
      </c>
      <c r="S89" s="952"/>
      <c r="T89" s="837" t="s">
        <v>2110</v>
      </c>
      <c r="U89" s="837" t="s">
        <v>2110</v>
      </c>
      <c r="V89" s="837" t="s">
        <v>2110</v>
      </c>
      <c r="W89" s="837" t="s">
        <v>2110</v>
      </c>
      <c r="X89" s="837"/>
      <c r="Y89" s="995"/>
      <c r="Z89" s="840"/>
      <c r="AA89" s="843"/>
      <c r="AB89" s="840"/>
      <c r="AC89" s="840"/>
      <c r="AD89" s="840"/>
    </row>
    <row customHeight="1" ht="27">
      <c r="A90" s="839"/>
      <c r="B90" s="893">
        <v>73</v>
      </c>
      <c r="C90" s="837" t="s">
        <v>2111</v>
      </c>
      <c r="D90" s="962"/>
      <c r="E90" s="837"/>
      <c r="F90" s="837"/>
      <c r="G90" s="837"/>
      <c r="H90" s="885"/>
      <c r="I90" s="1000" t="str">
        <f>INDEX(TEMPLATE_NUMBER_POINT_FHD,B90,MATCH(TEMPLATE_SPHERE,TEMPLATE_SPHERE_LIST_FOR_NOTE,0))</f>
        <v>14</v>
      </c>
      <c r="J90" s="1000" t="str">
        <f>INDEX(TEMPLATE_DATA_POINT_FHD,B90,MATCH(TEMPLATE_SPHERE,TEMPLATE_SPHERE_LIST_FOR_NOTE,0))</f>
        <v>Среднесписочная численность административно-управленческого персонала</v>
      </c>
      <c r="K90" s="1000">
        <f>INDEX(TEMPLATE_NOTE_POINT_FHD,B90,MATCH(TEMPLATE_SPHERE,TEMPLATE_SPHERE_LIST_FOR_NOTE,0))</f>
        <v>0</v>
      </c>
      <c r="L90" s="838" t="str">
        <f>IF(I90=0,"",I90)</f>
        <v>14</v>
      </c>
      <c r="M90" s="838" t="str">
        <f>IF(J90=0,"",J90)</f>
        <v>Среднесписочная численность административно-управленческого персонала</v>
      </c>
      <c r="N90" s="838" t="str">
        <f>IF(K90=0,"",K90)</f>
        <v/>
      </c>
      <c r="O90" s="952" t="s">
        <v>151</v>
      </c>
      <c r="P90" s="952"/>
      <c r="Q90" s="952"/>
      <c r="R90" s="952"/>
      <c r="S90" s="952"/>
      <c r="T90" s="837" t="s">
        <v>2112</v>
      </c>
      <c r="U90" s="837"/>
      <c r="V90" s="837"/>
      <c r="W90" s="837"/>
      <c r="X90" s="837"/>
      <c r="Y90" s="995"/>
      <c r="Z90" s="840"/>
      <c r="AA90" s="843"/>
      <c r="AB90" s="840"/>
      <c r="AC90" s="840"/>
      <c r="AD90" s="840"/>
    </row>
    <row customHeight="1" ht="18">
      <c r="A91" s="839"/>
      <c r="B91" s="893">
        <v>74</v>
      </c>
      <c r="C91" s="837"/>
      <c r="D91" s="962" t="s">
        <v>2107</v>
      </c>
      <c r="E91" s="837" t="s">
        <v>2107</v>
      </c>
      <c r="F91" s="837"/>
      <c r="G91" s="837"/>
      <c r="H91" s="885"/>
      <c r="I91" s="1000">
        <f>INDEX(TEMPLATE_NUMBER_POINT_FHD,B91,MATCH(TEMPLATE_SPHERE,TEMPLATE_SPHERE_LIST_FOR_NOTE,0))</f>
        <v>0</v>
      </c>
      <c r="J91" s="1000">
        <f>INDEX(TEMPLATE_DATA_POINT_FHD,B91,MATCH(TEMPLATE_SPHERE,TEMPLATE_SPHERE_LIST_FOR_NOTE,0))</f>
        <v>0</v>
      </c>
      <c r="K91" s="1000">
        <f>INDEX(TEMPLATE_NOTE_POINT_FHD,B91,MATCH(TEMPLATE_SPHERE,TEMPLATE_SPHERE_LIST_FOR_NOTE,0))</f>
        <v>0</v>
      </c>
      <c r="L91" s="838" t="str">
        <f>IF(I91=0,"",I91)</f>
        <v/>
      </c>
      <c r="M91" s="838" t="str">
        <f>IF(J91=0,"",J91)</f>
        <v/>
      </c>
      <c r="N91" s="838" t="str">
        <f>IF(K91=0,"",K91)</f>
        <v/>
      </c>
      <c r="O91" s="952"/>
      <c r="P91" s="952" t="s">
        <v>150</v>
      </c>
      <c r="Q91" s="952" t="s">
        <v>150</v>
      </c>
      <c r="R91" s="952"/>
      <c r="S91" s="952"/>
      <c r="T91" s="837"/>
      <c r="U91" s="837" t="s">
        <v>2113</v>
      </c>
      <c r="V91" s="837" t="s">
        <v>2113</v>
      </c>
      <c r="W91" s="837"/>
      <c r="X91" s="837"/>
      <c r="Y91" s="995"/>
      <c r="Z91" s="840"/>
      <c r="AA91" s="843"/>
      <c r="AB91" s="840"/>
      <c r="AC91" s="840"/>
      <c r="AD91" s="840"/>
    </row>
    <row customHeight="1" ht="27">
      <c r="A92" s="839"/>
      <c r="B92" s="893">
        <v>75</v>
      </c>
      <c r="C92" s="837"/>
      <c r="D92" s="962" t="s">
        <v>2109</v>
      </c>
      <c r="E92" s="837"/>
      <c r="F92" s="837"/>
      <c r="G92" s="837"/>
      <c r="H92" s="885"/>
      <c r="I92" s="1000">
        <f>INDEX(TEMPLATE_NUMBER_POINT_FHD,B92,MATCH(TEMPLATE_SPHERE,TEMPLATE_SPHERE_LIST_FOR_NOTE,0))</f>
        <v>0</v>
      </c>
      <c r="J92" s="1000">
        <f>INDEX(TEMPLATE_DATA_POINT_FHD,B92,MATCH(TEMPLATE_SPHERE,TEMPLATE_SPHERE_LIST_FOR_NOTE,0))</f>
        <v>0</v>
      </c>
      <c r="K92" s="1000">
        <f>INDEX(TEMPLATE_NOTE_POINT_FHD,B92,MATCH(TEMPLATE_SPHERE,TEMPLATE_SPHERE_LIST_FOR_NOTE,0))</f>
        <v>0</v>
      </c>
      <c r="L92" s="838" t="str">
        <f>IF(I92=0,"",I92)</f>
        <v/>
      </c>
      <c r="M92" s="838" t="str">
        <f>IF(J92=0,"",J92)</f>
        <v/>
      </c>
      <c r="N92" s="838" t="str">
        <f>IF(K92=0,"",K92)</f>
        <v/>
      </c>
      <c r="O92" s="952"/>
      <c r="P92" s="952" t="s">
        <v>151</v>
      </c>
      <c r="Q92" s="952"/>
      <c r="R92" s="952"/>
      <c r="S92" s="952"/>
      <c r="T92" s="837"/>
      <c r="U92" s="837" t="s">
        <v>2114</v>
      </c>
      <c r="V92" s="837"/>
      <c r="W92" s="837"/>
      <c r="X92" s="837"/>
      <c r="Y92" s="995"/>
      <c r="Z92" s="840"/>
      <c r="AA92" s="843" t="s">
        <v>2115</v>
      </c>
      <c r="AB92" s="840"/>
      <c r="AC92" s="840"/>
      <c r="AD92" s="840"/>
    </row>
    <row customHeight="1" ht="27">
      <c r="A93" s="839"/>
      <c r="B93" s="893">
        <v>76</v>
      </c>
      <c r="C93" s="837"/>
      <c r="D93" s="962"/>
      <c r="E93" s="837"/>
      <c r="F93" s="837"/>
      <c r="G93" s="837"/>
      <c r="H93" s="885"/>
      <c r="I93" s="1000">
        <f>INDEX(TEMPLATE_NUMBER_POINT_FHD,B93,MATCH(TEMPLATE_SPHERE,TEMPLATE_SPHERE_LIST_FOR_NOTE,0))</f>
        <v>0</v>
      </c>
      <c r="J93" s="1000">
        <f>INDEX(TEMPLATE_DATA_POINT_FHD,B93,MATCH(TEMPLATE_SPHERE,TEMPLATE_SPHERE_LIST_FOR_NOTE,0))</f>
        <v>0</v>
      </c>
      <c r="K93" s="1000">
        <f>INDEX(TEMPLATE_NOTE_POINT_FHD,B93,MATCH(TEMPLATE_SPHERE,TEMPLATE_SPHERE_LIST_FOR_NOTE,0))</f>
        <v>0</v>
      </c>
      <c r="L93" s="838" t="str">
        <f>IF(I93=0,"",I93)</f>
        <v/>
      </c>
      <c r="M93" s="838" t="str">
        <f>IF(J93=0,"",J93)</f>
        <v/>
      </c>
      <c r="N93" s="838" t="str">
        <f>IF(K93=0,"",K93)</f>
        <v/>
      </c>
      <c r="O93" s="952"/>
      <c r="P93" s="952" t="s">
        <v>2014</v>
      </c>
      <c r="Q93" s="952"/>
      <c r="R93" s="952"/>
      <c r="S93" s="952"/>
      <c r="T93" s="837"/>
      <c r="U93" s="837" t="s">
        <v>2116</v>
      </c>
      <c r="V93" s="837"/>
      <c r="W93" s="837"/>
      <c r="X93" s="837"/>
      <c r="Y93" s="995"/>
      <c r="Z93" s="840"/>
      <c r="AA93" s="843" t="s">
        <v>2117</v>
      </c>
      <c r="AB93" s="840"/>
      <c r="AC93" s="840"/>
      <c r="AD93" s="840"/>
    </row>
    <row customHeight="1" ht="45">
      <c r="A94" s="839"/>
      <c r="B94" s="893">
        <v>77</v>
      </c>
      <c r="C94" s="837"/>
      <c r="D94" s="962" t="s">
        <v>2111</v>
      </c>
      <c r="E94" s="837"/>
      <c r="F94" s="837"/>
      <c r="G94" s="837"/>
      <c r="H94" s="885"/>
      <c r="I94" s="1000">
        <f>INDEX(TEMPLATE_NUMBER_POINT_FHD,B94,MATCH(TEMPLATE_SPHERE,TEMPLATE_SPHERE_LIST_FOR_NOTE,0))</f>
        <v>0</v>
      </c>
      <c r="J94" s="1000">
        <f>INDEX(TEMPLATE_DATA_POINT_FHD,B94,MATCH(TEMPLATE_SPHERE,TEMPLATE_SPHERE_LIST_FOR_NOTE,0))</f>
        <v>0</v>
      </c>
      <c r="K94" s="1000">
        <f>INDEX(TEMPLATE_NOTE_POINT_FHD,B94,MATCH(TEMPLATE_SPHERE,TEMPLATE_SPHERE_LIST_FOR_NOTE,0))</f>
        <v>0</v>
      </c>
      <c r="L94" s="838" t="str">
        <f>IF(I94=0,"",I94)</f>
        <v/>
      </c>
      <c r="M94" s="838" t="str">
        <f>IF(J94=0,"",J94)</f>
        <v/>
      </c>
      <c r="N94" s="838" t="str">
        <f>IF(K94=0,"",K94)</f>
        <v/>
      </c>
      <c r="O94" s="952"/>
      <c r="P94" s="952" t="s">
        <v>1464</v>
      </c>
      <c r="Q94" s="952"/>
      <c r="R94" s="952"/>
      <c r="S94" s="952"/>
      <c r="T94" s="837"/>
      <c r="U94" s="837" t="s">
        <v>2118</v>
      </c>
      <c r="V94" s="837"/>
      <c r="W94" s="837"/>
      <c r="X94" s="837"/>
      <c r="Y94" s="995"/>
      <c r="Z94" s="840"/>
      <c r="AA94" s="843" t="s">
        <v>2119</v>
      </c>
      <c r="AB94" s="840"/>
      <c r="AC94" s="840"/>
      <c r="AD94" s="840"/>
    </row>
    <row customHeight="1" ht="99">
      <c r="A95" s="839"/>
      <c r="B95" s="893">
        <v>78</v>
      </c>
      <c r="C95" s="837" t="s">
        <v>2120</v>
      </c>
      <c r="D95" s="962"/>
      <c r="E95" s="837"/>
      <c r="F95" s="837"/>
      <c r="G95" s="837"/>
      <c r="H95" s="885"/>
      <c r="I95" s="1000" t="str">
        <f>INDEX(TEMPLATE_NUMBER_POINT_FHD,B95,MATCH(TEMPLATE_SPHERE,TEMPLATE_SPHERE_LIST_FOR_NOTE,0))</f>
        <v>15</v>
      </c>
      <c r="J95" s="1000"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0">
        <f>INDEX(TEMPLATE_NOTE_POINT_FHD,B95,MATCH(TEMPLATE_SPHERE,TEMPLATE_SPHERE_LIST_FOR_NOTE,0))</f>
        <v>0</v>
      </c>
      <c r="L95" s="838" t="str">
        <f>IF(I95=0,"",I95)</f>
        <v>15</v>
      </c>
      <c r="M95" s="838"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38" t="str">
        <f>IF(K95=0,"",K95)</f>
        <v/>
      </c>
      <c r="O95" s="952" t="s">
        <v>1464</v>
      </c>
      <c r="P95" s="952"/>
      <c r="Q95" s="952"/>
      <c r="R95" s="952"/>
      <c r="S95" s="952"/>
      <c r="T95" s="837" t="s">
        <v>2121</v>
      </c>
      <c r="U95" s="837"/>
      <c r="V95" s="837"/>
      <c r="W95" s="837"/>
      <c r="X95" s="837"/>
      <c r="Y95" s="995"/>
      <c r="Z95" s="840"/>
      <c r="AA95" s="843"/>
      <c r="AB95" s="840"/>
      <c r="AC95" s="840"/>
      <c r="AD95" s="840"/>
    </row>
    <row customHeight="1" ht="99">
      <c r="A96" s="839"/>
      <c r="B96" s="893">
        <v>79</v>
      </c>
      <c r="C96" s="837" t="s">
        <v>1062</v>
      </c>
      <c r="D96" s="962"/>
      <c r="E96" s="837"/>
      <c r="F96" s="837"/>
      <c r="G96" s="837"/>
      <c r="H96" s="885"/>
      <c r="I96" s="1000" t="str">
        <f>INDEX(TEMPLATE_NUMBER_POINT_FHD,B96,MATCH(TEMPLATE_SPHERE,TEMPLATE_SPHERE_LIST_FOR_NOTE,0))</f>
        <v>16</v>
      </c>
      <c r="J96" s="1000"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0"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38" t="str">
        <f>IF(I96=0,"",I96)</f>
        <v>16</v>
      </c>
      <c r="M96" s="838"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38"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2" t="s">
        <v>1470</v>
      </c>
      <c r="P96" s="952"/>
      <c r="Q96" s="952"/>
      <c r="R96" s="952"/>
      <c r="S96" s="952"/>
      <c r="T96" s="837" t="s">
        <v>2122</v>
      </c>
      <c r="U96" s="837"/>
      <c r="V96" s="837"/>
      <c r="W96" s="837"/>
      <c r="X96" s="837"/>
      <c r="Y96" s="995"/>
      <c r="Z96" s="840" t="s">
        <v>2123</v>
      </c>
      <c r="AA96" s="843"/>
      <c r="AB96" s="840"/>
      <c r="AC96" s="840"/>
      <c r="AD96" s="840"/>
    </row>
    <row customHeight="1" ht="63">
      <c r="A97" s="839"/>
      <c r="B97" s="893">
        <v>80</v>
      </c>
      <c r="C97" s="837" t="s">
        <v>2124</v>
      </c>
      <c r="D97" s="962"/>
      <c r="E97" s="837"/>
      <c r="F97" s="837"/>
      <c r="G97" s="837"/>
      <c r="H97" s="885"/>
      <c r="I97" s="1000" t="str">
        <f>INDEX(TEMPLATE_NUMBER_POINT_FHD,B97,MATCH(TEMPLATE_SPHERE,TEMPLATE_SPHERE_LIST_FOR_NOTE,0))</f>
        <v>17</v>
      </c>
      <c r="J97" s="1000"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0"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38" t="str">
        <f>IF(I97=0,"",I97)</f>
        <v>17</v>
      </c>
      <c r="M97" s="838"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38" t="str">
        <f>IF(K97=0,"",K97)</f>
        <v>Регулируемыми организациями указывается информация с по договорам, заключенным в рамках осуществления регулируемой деятельности.</v>
      </c>
      <c r="O97" s="952" t="s">
        <v>1481</v>
      </c>
      <c r="P97" s="952"/>
      <c r="Q97" s="952"/>
      <c r="R97" s="952"/>
      <c r="S97" s="952"/>
      <c r="T97" s="837" t="s">
        <v>2125</v>
      </c>
      <c r="U97" s="837"/>
      <c r="V97" s="837"/>
      <c r="W97" s="837"/>
      <c r="X97" s="837"/>
      <c r="Y97" s="995"/>
      <c r="Z97" s="840" t="s">
        <v>2126</v>
      </c>
      <c r="AA97" s="843"/>
      <c r="AB97" s="840"/>
      <c r="AC97" s="840"/>
      <c r="AD97" s="840"/>
    </row>
    <row customHeight="1" ht="63">
      <c r="A98" s="839"/>
      <c r="B98" s="893">
        <v>81</v>
      </c>
      <c r="C98" s="837" t="s">
        <v>2127</v>
      </c>
      <c r="D98" s="962"/>
      <c r="E98" s="837"/>
      <c r="F98" s="837"/>
      <c r="G98" s="837"/>
      <c r="H98" s="885"/>
      <c r="I98" s="1000" t="str">
        <f>INDEX(TEMPLATE_NUMBER_POINT_FHD,B98,MATCH(TEMPLATE_SPHERE,TEMPLATE_SPHERE_LIST_FOR_NOTE,0))</f>
        <v>18</v>
      </c>
      <c r="J98" s="1000"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0"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38" t="str">
        <f>IF(I98=0,"",I98)</f>
        <v>18</v>
      </c>
      <c r="M98" s="838"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38" t="str">
        <f>IF(K98=0,"",K98)</f>
        <v>Регулируемыми организациями указывается информация с по договорам, заключенным в рамках осуществления регулируемой деятельности.</v>
      </c>
      <c r="O98" s="952" t="s">
        <v>1495</v>
      </c>
      <c r="P98" s="952"/>
      <c r="Q98" s="952"/>
      <c r="R98" s="952"/>
      <c r="S98" s="952"/>
      <c r="T98" s="837" t="s">
        <v>2128</v>
      </c>
      <c r="U98" s="837"/>
      <c r="V98" s="837"/>
      <c r="W98" s="837"/>
      <c r="X98" s="837"/>
      <c r="Y98" s="995"/>
      <c r="Z98" s="840" t="s">
        <v>2126</v>
      </c>
      <c r="AA98" s="843"/>
      <c r="AB98" s="840"/>
      <c r="AC98" s="840"/>
      <c r="AD98" s="840"/>
    </row>
    <row customHeight="1" ht="90">
      <c r="A99" s="839"/>
      <c r="B99" s="893">
        <v>82</v>
      </c>
      <c r="C99" s="837" t="s">
        <v>2129</v>
      </c>
      <c r="D99" s="962"/>
      <c r="E99" s="837"/>
      <c r="F99" s="837"/>
      <c r="G99" s="837"/>
      <c r="H99" s="885"/>
      <c r="I99" s="1000" t="str">
        <f>INDEX(TEMPLATE_NUMBER_POINT_FHD,B99,MATCH(TEMPLATE_SPHERE,TEMPLATE_SPHERE_LIST_FOR_NOTE,0))</f>
        <v>19</v>
      </c>
      <c r="J99" s="1000"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0" t="str">
        <f>INDEX(TEMPLATE_NOTE_POINT_FHD,B99,MATCH(TEMPLATE_SPHERE,TEMPLATE_SPHERE_LIST_FOR_NOTE,0))</f>
        <v>Указывается ссылка на документ, предварительно загруженный в хранилище файлов ФГИС ЕИАС.</v>
      </c>
      <c r="L99" s="838" t="str">
        <f>IF(I99=0,"",I99)</f>
        <v>19</v>
      </c>
      <c r="M99" s="838"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38" t="str">
        <f>IF(K99=0,"",K99)</f>
        <v>Указывается ссылка на документ, предварительно загруженный в хранилище файлов ФГИС ЕИАС.</v>
      </c>
      <c r="O99" s="952" t="s">
        <v>1507</v>
      </c>
      <c r="P99" s="952"/>
      <c r="Q99" s="952"/>
      <c r="R99" s="952"/>
      <c r="S99" s="952"/>
      <c r="T99" s="837" t="s">
        <v>2130</v>
      </c>
      <c r="U99" s="837"/>
      <c r="V99" s="837"/>
      <c r="W99" s="837"/>
      <c r="X99" s="837"/>
      <c r="Y99" s="995"/>
      <c r="Z99" s="840" t="s">
        <v>802</v>
      </c>
      <c r="AA99" s="843"/>
      <c r="AB99" s="840"/>
      <c r="AC99" s="840"/>
      <c r="AD99" s="840"/>
    </row>
    <row customHeight="1" ht="27">
      <c r="A100" s="839"/>
      <c r="B100" s="893">
        <v>83</v>
      </c>
      <c r="C100" s="837"/>
      <c r="D100" s="962"/>
      <c r="E100" s="837"/>
      <c r="F100" s="837"/>
      <c r="G100" s="837"/>
      <c r="H100" s="885"/>
      <c r="I100" s="1000" t="str">
        <f>INDEX(TEMPLATE_NUMBER_POINT_FHD,B100,MATCH(TEMPLATE_SPHERE,TEMPLATE_SPHERE_LIST_FOR_NOTE,0))</f>
        <v>19.1</v>
      </c>
      <c r="J100" s="1000" t="str">
        <f>INDEX(TEMPLATE_DATA_POINT_FHD,B100,MATCH(TEMPLATE_SPHERE,TEMPLATE_SPHERE_LIST_FOR_NOTE,0))</f>
        <v>Информация о показателях физического износа объектов теплоснабжения</v>
      </c>
      <c r="K100" s="1000" t="str">
        <f>INDEX(TEMPLATE_NOTE_POINT_FHD,B100,MATCH(TEMPLATE_SPHERE,TEMPLATE_SPHERE_LIST_FOR_NOTE,0))</f>
        <v>Указывается ссылка на документ, предварительно загруженный в хранилище файлов ФГИС ЕИАС.</v>
      </c>
      <c r="L100" s="838" t="str">
        <f>IF(I100=0,"",I100)</f>
        <v>19.1</v>
      </c>
      <c r="M100" s="838" t="str">
        <f>IF(J100=0,"",J100)</f>
        <v>Информация о показателях физического износа объектов теплоснабжения</v>
      </c>
      <c r="N100" s="838" t="str">
        <f>IF(K100=0,"",K100)</f>
        <v>Указывается ссылка на документ, предварительно загруженный в хранилище файлов ФГИС ЕИАС.</v>
      </c>
      <c r="O100" s="952" t="s">
        <v>2131</v>
      </c>
      <c r="P100" s="952"/>
      <c r="Q100" s="952"/>
      <c r="R100" s="952"/>
      <c r="S100" s="952"/>
      <c r="T100" s="837" t="s">
        <v>2132</v>
      </c>
      <c r="U100" s="837"/>
      <c r="V100" s="837"/>
      <c r="W100" s="837"/>
      <c r="X100" s="837"/>
      <c r="Y100" s="995"/>
      <c r="Z100" s="840" t="s">
        <v>802</v>
      </c>
      <c r="AA100" s="843"/>
      <c r="AB100" s="840"/>
      <c r="AC100" s="840"/>
      <c r="AD100" s="840"/>
    </row>
    <row customHeight="1" ht="27">
      <c r="A101" s="839"/>
      <c r="B101" s="893">
        <v>84</v>
      </c>
      <c r="C101" s="837"/>
      <c r="D101" s="962"/>
      <c r="E101" s="837"/>
      <c r="F101" s="837"/>
      <c r="G101" s="837"/>
      <c r="H101" s="885"/>
      <c r="I101" s="1000" t="str">
        <f>INDEX(TEMPLATE_NUMBER_POINT_FHD,B101,MATCH(TEMPLATE_SPHERE,TEMPLATE_SPHERE_LIST_FOR_NOTE,0))</f>
        <v>19.2</v>
      </c>
      <c r="J101" s="1000" t="str">
        <f>INDEX(TEMPLATE_DATA_POINT_FHD,B101,MATCH(TEMPLATE_SPHERE,TEMPLATE_SPHERE_LIST_FOR_NOTE,0))</f>
        <v>Информация о показателях энергетической эффективности объектов теплоснабжения</v>
      </c>
      <c r="K101" s="1000" t="str">
        <f>INDEX(TEMPLATE_NOTE_POINT_FHD,B101,MATCH(TEMPLATE_SPHERE,TEMPLATE_SPHERE_LIST_FOR_NOTE,0))</f>
        <v>Указывается ссылка на документ, предварительно загруженный в хранилище файлов ФГИС ЕИАС.</v>
      </c>
      <c r="L101" s="838" t="str">
        <f>IF(I101=0,"",I101)</f>
        <v>19.2</v>
      </c>
      <c r="M101" s="838" t="str">
        <f>IF(J101=0,"",J101)</f>
        <v>Информация о показателях энергетической эффективности объектов теплоснабжения</v>
      </c>
      <c r="N101" s="838" t="str">
        <f>IF(K101=0,"",K101)</f>
        <v>Указывается ссылка на документ, предварительно загруженный в хранилище файлов ФГИС ЕИАС.</v>
      </c>
      <c r="O101" s="952" t="s">
        <v>2133</v>
      </c>
      <c r="P101" s="952"/>
      <c r="Q101" s="952"/>
      <c r="R101" s="952"/>
      <c r="S101" s="952"/>
      <c r="T101" s="837" t="s">
        <v>2134</v>
      </c>
      <c r="U101" s="837"/>
      <c r="V101" s="837"/>
      <c r="W101" s="837"/>
      <c r="X101" s="837"/>
      <c r="Y101" s="995"/>
      <c r="Z101" s="840" t="s">
        <v>802</v>
      </c>
      <c r="AA101" s="843"/>
      <c r="AB101" s="840"/>
      <c r="AC101" s="840"/>
      <c r="AD101" s="840"/>
    </row>
    <row customHeight="1" ht="9">
      <c r="A102" s="839"/>
      <c r="B102" s="839"/>
      <c r="C102" s="837"/>
      <c r="D102" s="837"/>
      <c r="E102" s="837"/>
      <c r="F102" s="837"/>
      <c r="G102" s="837"/>
      <c r="H102" s="885"/>
      <c r="I102" s="885"/>
      <c r="J102" s="885"/>
      <c r="K102" s="885"/>
      <c r="L102" s="885"/>
      <c r="M102" s="837"/>
      <c r="N102" s="884"/>
      <c r="O102" s="952"/>
      <c r="P102" s="952"/>
      <c r="Q102" s="952"/>
      <c r="R102" s="952"/>
      <c r="S102" s="837"/>
      <c r="T102" s="837"/>
      <c r="U102" s="837"/>
      <c r="V102" s="837"/>
      <c r="W102" s="837"/>
      <c r="X102" s="837"/>
      <c r="Y102" s="995"/>
      <c r="Z102" s="840"/>
      <c r="AA102" s="843"/>
      <c r="AB102" s="840"/>
      <c r="AC102" s="840"/>
      <c r="AD102" s="840"/>
    </row>
    <row customHeight="1" ht="9">
      <c r="A103" s="839"/>
      <c r="B103" s="839"/>
      <c r="C103" s="837"/>
      <c r="D103" s="837"/>
      <c r="E103" s="837"/>
      <c r="F103" s="837"/>
      <c r="G103" s="837"/>
      <c r="H103" s="885"/>
      <c r="I103" s="885"/>
      <c r="J103" s="885"/>
      <c r="K103" s="885"/>
      <c r="L103" s="885"/>
      <c r="M103" s="837"/>
      <c r="N103" s="884"/>
      <c r="O103" s="952"/>
      <c r="P103" s="952"/>
      <c r="Q103" s="952"/>
      <c r="R103" s="952"/>
      <c r="S103" s="837"/>
      <c r="T103" s="837"/>
      <c r="U103" s="837"/>
      <c r="V103" s="837"/>
      <c r="W103" s="837"/>
      <c r="X103" s="837"/>
      <c r="Y103" s="995"/>
      <c r="Z103" s="840"/>
      <c r="AA103" s="843"/>
      <c r="AB103" s="840"/>
      <c r="AC103" s="840"/>
      <c r="AD103" s="840"/>
    </row>
    <row customHeight="1" ht="9">
      <c r="A104" s="839"/>
      <c r="B104" s="839"/>
      <c r="C104" s="837"/>
      <c r="D104" s="837"/>
      <c r="E104" s="837"/>
      <c r="F104" s="837"/>
      <c r="G104" s="837"/>
      <c r="H104" s="885"/>
      <c r="I104" s="885"/>
      <c r="J104" s="885"/>
      <c r="K104" s="885"/>
      <c r="L104" s="885"/>
      <c r="M104" s="837"/>
      <c r="N104" s="884"/>
      <c r="O104" s="952"/>
      <c r="P104" s="952"/>
      <c r="Q104" s="952"/>
      <c r="R104" s="952"/>
      <c r="S104" s="837"/>
      <c r="T104" s="837"/>
      <c r="U104" s="837"/>
      <c r="V104" s="837"/>
      <c r="W104" s="837"/>
      <c r="X104" s="837"/>
      <c r="Y104" s="995"/>
      <c r="Z104" s="840"/>
      <c r="AA104" s="843"/>
      <c r="AB104" s="840"/>
      <c r="AC104" s="840"/>
      <c r="AD104" s="840"/>
    </row>
    <row customHeight="1" ht="9">
      <c r="A105" s="839"/>
      <c r="B105" s="839"/>
      <c r="C105" s="837"/>
      <c r="D105" s="837"/>
      <c r="E105" s="837"/>
      <c r="F105" s="837"/>
      <c r="G105" s="837"/>
      <c r="H105" s="885"/>
      <c r="I105" s="885"/>
      <c r="J105" s="885"/>
      <c r="K105" s="885"/>
      <c r="L105" s="885"/>
      <c r="M105" s="837"/>
      <c r="N105" s="884"/>
      <c r="O105" s="952"/>
      <c r="P105" s="952"/>
      <c r="Q105" s="952"/>
      <c r="R105" s="952"/>
      <c r="S105" s="837"/>
      <c r="T105" s="837"/>
      <c r="U105" s="837"/>
      <c r="V105" s="837"/>
      <c r="W105" s="837"/>
      <c r="X105" s="837"/>
      <c r="Y105" s="995"/>
      <c r="Z105" s="840"/>
      <c r="AA105" s="843"/>
      <c r="AB105" s="840"/>
      <c r="AC105" s="840"/>
      <c r="AD105" s="840"/>
    </row>
    <row customHeight="1" ht="9">
      <c r="A106" s="839"/>
      <c r="B106" s="839"/>
      <c r="C106" s="837"/>
      <c r="D106" s="837"/>
      <c r="E106" s="837"/>
      <c r="F106" s="837"/>
      <c r="G106" s="837"/>
      <c r="H106" s="885"/>
      <c r="I106" s="885"/>
      <c r="J106" s="885"/>
      <c r="K106" s="885"/>
      <c r="L106" s="885"/>
      <c r="M106" s="837"/>
      <c r="N106" s="884"/>
      <c r="O106" s="952"/>
      <c r="P106" s="952"/>
      <c r="Q106" s="952"/>
      <c r="R106" s="952"/>
      <c r="S106" s="837"/>
      <c r="T106" s="837"/>
      <c r="U106" s="837"/>
      <c r="V106" s="837"/>
      <c r="W106" s="837"/>
      <c r="X106" s="837"/>
      <c r="Y106" s="995"/>
      <c r="Z106" s="840"/>
      <c r="AA106" s="843"/>
      <c r="AB106" s="840"/>
      <c r="AC106" s="840"/>
      <c r="AD106" s="840"/>
    </row>
    <row customHeight="1" ht="9">
      <c r="A107" s="839"/>
      <c r="B107" s="839"/>
      <c r="C107" s="837"/>
      <c r="D107" s="837"/>
      <c r="E107" s="837"/>
      <c r="F107" s="837"/>
      <c r="G107" s="837"/>
      <c r="H107" s="885"/>
      <c r="I107" s="885"/>
      <c r="J107" s="885"/>
      <c r="K107" s="885"/>
      <c r="L107" s="885"/>
      <c r="M107" s="837"/>
      <c r="N107" s="884"/>
      <c r="O107" s="952"/>
      <c r="P107" s="952"/>
      <c r="Q107" s="952"/>
      <c r="R107" s="952"/>
      <c r="S107" s="837"/>
      <c r="T107" s="837"/>
      <c r="U107" s="837"/>
      <c r="V107" s="837"/>
      <c r="W107" s="837"/>
      <c r="X107" s="837"/>
      <c r="Y107" s="995"/>
      <c r="Z107" s="840"/>
      <c r="AA107" s="843"/>
      <c r="AB107" s="840"/>
      <c r="AC107" s="840"/>
      <c r="AD107" s="840"/>
    </row>
    <row customHeight="1" ht="9">
      <c r="A108" s="839"/>
      <c r="B108" s="839"/>
      <c r="C108" s="837"/>
      <c r="D108" s="837"/>
      <c r="E108" s="837"/>
      <c r="F108" s="837"/>
      <c r="G108" s="837"/>
      <c r="H108" s="885"/>
      <c r="I108" s="885"/>
      <c r="J108" s="885"/>
      <c r="K108" s="885"/>
      <c r="L108" s="885"/>
      <c r="M108" s="837"/>
      <c r="N108" s="884"/>
      <c r="O108" s="952"/>
      <c r="P108" s="952"/>
      <c r="Q108" s="952"/>
      <c r="R108" s="952"/>
      <c r="S108" s="837"/>
      <c r="T108" s="837"/>
      <c r="U108" s="837"/>
      <c r="V108" s="837"/>
      <c r="W108" s="837"/>
      <c r="X108" s="837"/>
      <c r="Y108" s="995"/>
      <c r="Z108" s="840"/>
      <c r="AA108" s="843"/>
      <c r="AB108" s="840"/>
      <c r="AC108" s="840"/>
      <c r="AD108" s="840"/>
    </row>
    <row customHeight="1" ht="9">
      <c r="A109" s="839"/>
      <c r="B109" s="839"/>
      <c r="C109" s="837"/>
      <c r="D109" s="837"/>
      <c r="E109" s="837"/>
      <c r="F109" s="837"/>
      <c r="G109" s="837"/>
      <c r="H109" s="885"/>
      <c r="I109" s="885"/>
      <c r="J109" s="885"/>
      <c r="K109" s="885"/>
      <c r="L109" s="885"/>
      <c r="M109" s="837"/>
      <c r="N109" s="884"/>
      <c r="O109" s="952"/>
      <c r="P109" s="952"/>
      <c r="Q109" s="952"/>
      <c r="R109" s="952"/>
      <c r="S109" s="837"/>
      <c r="T109" s="837"/>
      <c r="U109" s="837"/>
      <c r="V109" s="837"/>
      <c r="W109" s="837"/>
      <c r="X109" s="837"/>
      <c r="Y109" s="995"/>
      <c r="Z109" s="840"/>
      <c r="AA109" s="843"/>
      <c r="AB109" s="840"/>
      <c r="AC109" s="840"/>
      <c r="AD109" s="840"/>
    </row>
    <row customHeight="1" ht="9">
      <c r="A110" s="839"/>
      <c r="B110" s="839"/>
      <c r="C110" s="837"/>
      <c r="D110" s="837"/>
      <c r="E110" s="837"/>
      <c r="F110" s="837"/>
      <c r="G110" s="837"/>
      <c r="H110" s="885"/>
      <c r="I110" s="885"/>
      <c r="J110" s="885"/>
      <c r="K110" s="885"/>
      <c r="L110" s="885"/>
      <c r="M110" s="837"/>
      <c r="N110" s="884"/>
      <c r="O110" s="952"/>
      <c r="P110" s="952"/>
      <c r="Q110" s="952"/>
      <c r="R110" s="952"/>
      <c r="S110" s="837"/>
      <c r="T110" s="837"/>
      <c r="U110" s="837"/>
      <c r="V110" s="837"/>
      <c r="W110" s="837"/>
      <c r="X110" s="837"/>
      <c r="Y110" s="995"/>
      <c r="Z110" s="840"/>
      <c r="AA110" s="843"/>
      <c r="AB110" s="840"/>
      <c r="AC110" s="840"/>
      <c r="AD110" s="840"/>
    </row>
    <row customHeight="1" ht="9">
      <c r="A111" s="839"/>
      <c r="B111" s="839"/>
      <c r="C111" s="837"/>
      <c r="D111" s="837"/>
      <c r="E111" s="837"/>
      <c r="F111" s="837"/>
      <c r="G111" s="837"/>
      <c r="H111" s="885"/>
      <c r="I111" s="885"/>
      <c r="J111" s="885"/>
      <c r="K111" s="885"/>
      <c r="L111" s="885"/>
      <c r="M111" s="837"/>
      <c r="N111" s="884"/>
      <c r="O111" s="952"/>
      <c r="P111" s="952"/>
      <c r="Q111" s="952"/>
      <c r="R111" s="952"/>
      <c r="S111" s="837"/>
      <c r="T111" s="837"/>
      <c r="U111" s="837"/>
      <c r="V111" s="837"/>
      <c r="W111" s="837"/>
      <c r="X111" s="837"/>
      <c r="Y111" s="995"/>
      <c r="Z111" s="840"/>
      <c r="AA111" s="843"/>
      <c r="AB111" s="840"/>
      <c r="AC111" s="840"/>
      <c r="AD111" s="840"/>
    </row>
    <row customHeight="1" ht="9">
      <c r="A112" s="839"/>
      <c r="B112" s="839"/>
      <c r="C112" s="837"/>
      <c r="D112" s="837"/>
      <c r="E112" s="837"/>
      <c r="F112" s="837"/>
      <c r="G112" s="837"/>
      <c r="H112" s="885"/>
      <c r="I112" s="885"/>
      <c r="J112" s="885"/>
      <c r="K112" s="885"/>
      <c r="L112" s="885"/>
      <c r="M112" s="837"/>
      <c r="N112" s="884"/>
      <c r="O112" s="952"/>
      <c r="P112" s="952"/>
      <c r="Q112" s="952"/>
      <c r="R112" s="952"/>
      <c r="S112" s="837"/>
      <c r="T112" s="837"/>
      <c r="U112" s="837"/>
      <c r="V112" s="837"/>
      <c r="W112" s="837"/>
      <c r="X112" s="837"/>
      <c r="Y112" s="995"/>
      <c r="Z112" s="840"/>
      <c r="AA112" s="843"/>
      <c r="AB112" s="840"/>
      <c r="AC112" s="840"/>
      <c r="AD112" s="840"/>
    </row>
    <row customHeight="1" ht="9">
      <c r="A113" s="839"/>
      <c r="B113" s="839"/>
      <c r="C113" s="837"/>
      <c r="D113" s="837"/>
      <c r="E113" s="837"/>
      <c r="F113" s="837"/>
      <c r="G113" s="837"/>
      <c r="H113" s="885"/>
      <c r="I113" s="885"/>
      <c r="J113" s="885"/>
      <c r="K113" s="885"/>
      <c r="L113" s="885"/>
      <c r="M113" s="837"/>
      <c r="N113" s="884"/>
      <c r="O113" s="952"/>
      <c r="P113" s="952"/>
      <c r="Q113" s="952"/>
      <c r="R113" s="952"/>
      <c r="S113" s="837"/>
      <c r="T113" s="837"/>
      <c r="U113" s="837"/>
      <c r="V113" s="837"/>
      <c r="W113" s="837"/>
      <c r="X113" s="837"/>
      <c r="Y113" s="995"/>
      <c r="Z113" s="840"/>
      <c r="AA113" s="843"/>
      <c r="AB113" s="840"/>
      <c r="AC113" s="840"/>
      <c r="AD113" s="840"/>
    </row>
    <row customHeight="1" ht="9">
      <c r="A114" s="839"/>
      <c r="B114" s="839"/>
      <c r="C114" s="837"/>
      <c r="D114" s="837"/>
      <c r="E114" s="837"/>
      <c r="F114" s="837"/>
      <c r="G114" s="837"/>
      <c r="H114" s="885"/>
      <c r="I114" s="885"/>
      <c r="J114" s="885"/>
      <c r="K114" s="885"/>
      <c r="L114" s="885"/>
      <c r="M114" s="837"/>
      <c r="N114" s="884"/>
      <c r="O114" s="952"/>
      <c r="P114" s="952"/>
      <c r="Q114" s="952"/>
      <c r="R114" s="952"/>
      <c r="S114" s="837"/>
      <c r="T114" s="837"/>
      <c r="U114" s="837"/>
      <c r="V114" s="837"/>
      <c r="W114" s="837"/>
      <c r="X114" s="837"/>
      <c r="Y114" s="995"/>
      <c r="Z114" s="840"/>
      <c r="AA114" s="843"/>
      <c r="AB114" s="840"/>
      <c r="AC114" s="840"/>
      <c r="AD114" s="840"/>
    </row>
    <row customHeight="1" ht="9">
      <c r="A115" s="839"/>
      <c r="B115" s="839"/>
      <c r="C115" s="837"/>
      <c r="D115" s="837"/>
      <c r="E115" s="837"/>
      <c r="F115" s="837"/>
      <c r="G115" s="837"/>
      <c r="H115" s="885"/>
      <c r="I115" s="885"/>
      <c r="J115" s="885"/>
      <c r="K115" s="885"/>
      <c r="L115" s="885"/>
      <c r="M115" s="837"/>
      <c r="N115" s="884"/>
      <c r="O115" s="952"/>
      <c r="P115" s="952"/>
      <c r="Q115" s="952"/>
      <c r="R115" s="952"/>
      <c r="S115" s="837"/>
      <c r="T115" s="837"/>
      <c r="U115" s="837"/>
      <c r="V115" s="837"/>
      <c r="W115" s="837"/>
      <c r="X115" s="837"/>
      <c r="Y115" s="995"/>
      <c r="Z115" s="840"/>
      <c r="AA115" s="843"/>
      <c r="AB115" s="840"/>
      <c r="AC115" s="840"/>
      <c r="AD115" s="840"/>
    </row>
    <row customHeight="1" ht="9">
      <c r="A116" s="839"/>
      <c r="B116" s="839"/>
      <c r="C116" s="837"/>
      <c r="D116" s="837"/>
      <c r="E116" s="837"/>
      <c r="F116" s="837"/>
      <c r="G116" s="837"/>
      <c r="H116" s="885"/>
      <c r="I116" s="885"/>
      <c r="J116" s="885"/>
      <c r="K116" s="885"/>
      <c r="L116" s="885"/>
      <c r="M116" s="837"/>
      <c r="N116" s="884"/>
      <c r="O116" s="952"/>
      <c r="P116" s="952"/>
      <c r="Q116" s="952"/>
      <c r="R116" s="952"/>
      <c r="S116" s="837"/>
      <c r="T116" s="837"/>
      <c r="U116" s="837"/>
      <c r="V116" s="837"/>
      <c r="W116" s="837"/>
      <c r="X116" s="837"/>
      <c r="Y116" s="995"/>
      <c r="Z116" s="840"/>
      <c r="AA116" s="843"/>
      <c r="AB116" s="840"/>
      <c r="AC116" s="840"/>
      <c r="AD116" s="840"/>
    </row>
    <row customHeight="1" ht="9">
      <c r="A117" s="839"/>
      <c r="B117" s="839"/>
      <c r="C117" s="837"/>
      <c r="D117" s="837"/>
      <c r="E117" s="837"/>
      <c r="F117" s="837"/>
      <c r="G117" s="837"/>
      <c r="H117" s="885"/>
      <c r="I117" s="885"/>
      <c r="J117" s="885"/>
      <c r="K117" s="885"/>
      <c r="L117" s="885"/>
      <c r="M117" s="837"/>
      <c r="N117" s="884"/>
      <c r="O117" s="952"/>
      <c r="P117" s="952"/>
      <c r="Q117" s="952"/>
      <c r="R117" s="952"/>
      <c r="S117" s="837"/>
      <c r="T117" s="837"/>
      <c r="U117" s="837"/>
      <c r="V117" s="837"/>
      <c r="W117" s="837"/>
      <c r="X117" s="837"/>
      <c r="Y117" s="995"/>
      <c r="Z117" s="840"/>
      <c r="AA117" s="843"/>
      <c r="AB117" s="840"/>
      <c r="AC117" s="840"/>
      <c r="AD117" s="840"/>
    </row>
    <row customHeight="1" ht="9">
      <c r="A118" s="839"/>
      <c r="B118" s="839"/>
      <c r="C118" s="837"/>
      <c r="D118" s="837"/>
      <c r="E118" s="837"/>
      <c r="F118" s="837"/>
      <c r="G118" s="837"/>
      <c r="H118" s="885"/>
      <c r="I118" s="885"/>
      <c r="J118" s="885"/>
      <c r="K118" s="885"/>
      <c r="L118" s="885"/>
      <c r="M118" s="837"/>
      <c r="N118" s="884"/>
      <c r="O118" s="952"/>
      <c r="P118" s="952"/>
      <c r="Q118" s="952"/>
      <c r="R118" s="952"/>
      <c r="S118" s="837"/>
      <c r="T118" s="837"/>
      <c r="U118" s="837"/>
      <c r="V118" s="837"/>
      <c r="W118" s="837"/>
      <c r="X118" s="837"/>
      <c r="Y118" s="995"/>
      <c r="Z118" s="840"/>
      <c r="AA118" s="843"/>
      <c r="AB118" s="840"/>
      <c r="AC118" s="840"/>
      <c r="AD118" s="840"/>
    </row>
    <row customHeight="1" ht="9">
      <c r="A119" s="839"/>
      <c r="B119" s="839"/>
      <c r="C119" s="837"/>
      <c r="D119" s="837"/>
      <c r="E119" s="837"/>
      <c r="F119" s="837"/>
      <c r="G119" s="837"/>
      <c r="H119" s="885"/>
      <c r="I119" s="885"/>
      <c r="J119" s="885"/>
      <c r="K119" s="885"/>
      <c r="L119" s="885"/>
      <c r="M119" s="837"/>
      <c r="N119" s="884"/>
      <c r="O119" s="952"/>
      <c r="P119" s="952"/>
      <c r="Q119" s="952"/>
      <c r="R119" s="952"/>
      <c r="S119" s="837"/>
      <c r="T119" s="837"/>
      <c r="U119" s="837"/>
      <c r="V119" s="837"/>
      <c r="W119" s="837"/>
      <c r="X119" s="837"/>
      <c r="Y119" s="995"/>
      <c r="Z119" s="840"/>
      <c r="AA119" s="843"/>
      <c r="AB119" s="840"/>
      <c r="AC119" s="840"/>
      <c r="AD119" s="840"/>
    </row>
    <row customHeight="1" ht="9">
      <c r="A120" s="839"/>
      <c r="B120" s="839"/>
      <c r="C120" s="837"/>
      <c r="D120" s="837"/>
      <c r="E120" s="837"/>
      <c r="F120" s="837"/>
      <c r="G120" s="837"/>
      <c r="H120" s="885"/>
      <c r="I120" s="885"/>
      <c r="J120" s="885"/>
      <c r="K120" s="885"/>
      <c r="L120" s="885"/>
      <c r="M120" s="837"/>
      <c r="N120" s="884"/>
      <c r="O120" s="952"/>
      <c r="P120" s="952"/>
      <c r="Q120" s="952"/>
      <c r="R120" s="952"/>
      <c r="S120" s="837"/>
      <c r="T120" s="837"/>
      <c r="U120" s="837"/>
      <c r="V120" s="837"/>
      <c r="W120" s="837"/>
      <c r="X120" s="837"/>
      <c r="Y120" s="995"/>
      <c r="Z120" s="840"/>
      <c r="AA120" s="843"/>
      <c r="AB120" s="840"/>
      <c r="AC120" s="840"/>
      <c r="AD120" s="840"/>
    </row>
    <row customHeight="1" ht="9">
      <c r="A121" s="839"/>
      <c r="B121" s="839"/>
      <c r="C121" s="837"/>
      <c r="D121" s="837"/>
      <c r="E121" s="837"/>
      <c r="F121" s="837"/>
      <c r="G121" s="837"/>
      <c r="H121" s="885"/>
      <c r="I121" s="885"/>
      <c r="J121" s="885"/>
      <c r="K121" s="885"/>
      <c r="L121" s="885"/>
      <c r="M121" s="837"/>
      <c r="N121" s="884"/>
      <c r="O121" s="952"/>
      <c r="P121" s="952"/>
      <c r="Q121" s="952"/>
      <c r="R121" s="952"/>
      <c r="S121" s="837"/>
      <c r="T121" s="837"/>
      <c r="U121" s="837"/>
      <c r="V121" s="837"/>
      <c r="W121" s="837"/>
      <c r="X121" s="837"/>
      <c r="Y121" s="995"/>
      <c r="Z121" s="840"/>
      <c r="AA121" s="843"/>
      <c r="AB121" s="840"/>
      <c r="AC121" s="840"/>
      <c r="AD121" s="840"/>
    </row>
    <row customHeight="1" ht="9">
      <c r="A122" s="839"/>
      <c r="B122" s="839"/>
      <c r="C122" s="837"/>
      <c r="D122" s="837"/>
      <c r="E122" s="837"/>
      <c r="F122" s="837"/>
      <c r="G122" s="837"/>
      <c r="H122" s="885"/>
      <c r="I122" s="885"/>
      <c r="J122" s="885"/>
      <c r="K122" s="885"/>
      <c r="L122" s="885"/>
      <c r="M122" s="837"/>
      <c r="N122" s="884"/>
      <c r="O122" s="952"/>
      <c r="P122" s="952"/>
      <c r="Q122" s="952"/>
      <c r="R122" s="952"/>
      <c r="S122" s="837"/>
      <c r="T122" s="837"/>
      <c r="U122" s="837"/>
      <c r="V122" s="837"/>
      <c r="W122" s="837"/>
      <c r="X122" s="837"/>
      <c r="Y122" s="995"/>
      <c r="Z122" s="840"/>
      <c r="AA122" s="843"/>
      <c r="AB122" s="840"/>
      <c r="AC122" s="840"/>
      <c r="AD122" s="840"/>
    </row>
    <row customHeight="1" ht="9">
      <c r="A123" s="839"/>
      <c r="B123" s="839"/>
      <c r="C123" s="837"/>
      <c r="D123" s="837"/>
      <c r="E123" s="837"/>
      <c r="F123" s="837"/>
      <c r="G123" s="837"/>
      <c r="H123" s="885"/>
      <c r="I123" s="885"/>
      <c r="J123" s="885"/>
      <c r="K123" s="885"/>
      <c r="L123" s="885"/>
      <c r="M123" s="837"/>
      <c r="N123" s="884"/>
      <c r="O123" s="952"/>
      <c r="P123" s="952"/>
      <c r="Q123" s="952"/>
      <c r="R123" s="952"/>
      <c r="S123" s="837"/>
      <c r="T123" s="837"/>
      <c r="U123" s="837"/>
      <c r="V123" s="837"/>
      <c r="W123" s="837"/>
      <c r="X123" s="837"/>
      <c r="Y123" s="995"/>
      <c r="Z123" s="840"/>
      <c r="AA123" s="843"/>
      <c r="AB123" s="840"/>
      <c r="AC123" s="840"/>
      <c r="AD123" s="840"/>
    </row>
    <row customHeight="1" ht="9">
      <c r="A124" s="839"/>
      <c r="B124" s="839"/>
      <c r="C124" s="837"/>
      <c r="D124" s="837"/>
      <c r="E124" s="837"/>
      <c r="F124" s="837"/>
      <c r="G124" s="837"/>
      <c r="H124" s="885"/>
      <c r="I124" s="885"/>
      <c r="J124" s="885"/>
      <c r="K124" s="885"/>
      <c r="L124" s="885"/>
      <c r="M124" s="837"/>
      <c r="N124" s="884"/>
      <c r="O124" s="952"/>
      <c r="P124" s="952"/>
      <c r="Q124" s="952"/>
      <c r="R124" s="952"/>
      <c r="S124" s="837"/>
      <c r="T124" s="837"/>
      <c r="U124" s="837"/>
      <c r="V124" s="837"/>
      <c r="W124" s="837"/>
      <c r="X124" s="837"/>
      <c r="Y124" s="995"/>
      <c r="Z124" s="840"/>
      <c r="AA124" s="843"/>
      <c r="AB124" s="840"/>
      <c r="AC124" s="840"/>
      <c r="AD124" s="840"/>
    </row>
    <row customHeight="1" ht="9">
      <c r="A125" s="839"/>
      <c r="B125" s="839"/>
      <c r="C125" s="837"/>
      <c r="D125" s="837"/>
      <c r="E125" s="837"/>
      <c r="F125" s="837"/>
      <c r="G125" s="837"/>
      <c r="H125" s="885"/>
      <c r="I125" s="885"/>
      <c r="J125" s="885"/>
      <c r="K125" s="885"/>
      <c r="L125" s="885"/>
      <c r="M125" s="837"/>
      <c r="N125" s="884"/>
      <c r="O125" s="952"/>
      <c r="P125" s="952"/>
      <c r="Q125" s="952"/>
      <c r="R125" s="952"/>
      <c r="S125" s="837"/>
      <c r="T125" s="837"/>
      <c r="U125" s="837"/>
      <c r="V125" s="837"/>
      <c r="W125" s="837"/>
      <c r="X125" s="837"/>
      <c r="Y125" s="995"/>
      <c r="Z125" s="840"/>
      <c r="AA125" s="843"/>
      <c r="AB125" s="840"/>
      <c r="AC125" s="840"/>
      <c r="AD125" s="840"/>
    </row>
    <row customHeight="1" ht="9">
      <c r="A126" s="839"/>
      <c r="B126" s="839"/>
      <c r="C126" s="837"/>
      <c r="D126" s="837"/>
      <c r="E126" s="837"/>
      <c r="F126" s="837"/>
      <c r="G126" s="837"/>
      <c r="H126" s="885"/>
      <c r="I126" s="885"/>
      <c r="J126" s="885"/>
      <c r="K126" s="885"/>
      <c r="L126" s="885"/>
      <c r="M126" s="837"/>
      <c r="N126" s="884"/>
      <c r="O126" s="952"/>
      <c r="P126" s="952"/>
      <c r="Q126" s="952"/>
      <c r="R126" s="952"/>
      <c r="S126" s="837"/>
      <c r="T126" s="837"/>
      <c r="U126" s="837"/>
      <c r="V126" s="837"/>
      <c r="W126" s="837"/>
      <c r="X126" s="837"/>
      <c r="Y126" s="995"/>
      <c r="Z126" s="840"/>
      <c r="AA126" s="843"/>
      <c r="AB126" s="840"/>
      <c r="AC126" s="840"/>
      <c r="AD126" s="840"/>
    </row>
    <row customHeight="1" ht="9">
      <c r="A127" s="839"/>
      <c r="B127" s="839"/>
      <c r="C127" s="837"/>
      <c r="D127" s="837"/>
      <c r="E127" s="837"/>
      <c r="F127" s="837"/>
      <c r="G127" s="837"/>
      <c r="H127" s="885"/>
      <c r="I127" s="885"/>
      <c r="J127" s="885"/>
      <c r="K127" s="885"/>
      <c r="L127" s="885"/>
      <c r="M127" s="837"/>
      <c r="N127" s="884"/>
      <c r="O127" s="952"/>
      <c r="P127" s="952"/>
      <c r="Q127" s="952"/>
      <c r="R127" s="952"/>
      <c r="S127" s="837"/>
      <c r="T127" s="837"/>
      <c r="U127" s="837"/>
      <c r="V127" s="837"/>
      <c r="W127" s="837"/>
      <c r="X127" s="837"/>
      <c r="Y127" s="995"/>
      <c r="Z127" s="840"/>
      <c r="AA127" s="843"/>
      <c r="AB127" s="840"/>
      <c r="AC127" s="840"/>
      <c r="AD127" s="840"/>
    </row>
    <row customHeight="1" ht="9">
      <c r="A128" s="839"/>
      <c r="B128" s="839"/>
      <c r="C128" s="837"/>
      <c r="D128" s="837"/>
      <c r="E128" s="837"/>
      <c r="F128" s="837"/>
      <c r="G128" s="837"/>
      <c r="H128" s="885"/>
      <c r="I128" s="885"/>
      <c r="J128" s="885"/>
      <c r="K128" s="885"/>
      <c r="L128" s="885"/>
      <c r="M128" s="837"/>
      <c r="N128" s="884"/>
      <c r="O128" s="952"/>
      <c r="P128" s="952"/>
      <c r="Q128" s="952"/>
      <c r="R128" s="952"/>
      <c r="S128" s="837"/>
      <c r="T128" s="837"/>
      <c r="U128" s="837"/>
      <c r="V128" s="837"/>
      <c r="W128" s="837"/>
      <c r="X128" s="837"/>
      <c r="Y128" s="995"/>
      <c r="Z128" s="840"/>
      <c r="AA128" s="843"/>
      <c r="AB128" s="840"/>
      <c r="AC128" s="840"/>
      <c r="AD128" s="840"/>
    </row>
    <row customHeight="1" ht="9">
      <c r="A129" s="839"/>
      <c r="B129" s="839"/>
      <c r="C129" s="837"/>
      <c r="D129" s="837"/>
      <c r="E129" s="837"/>
      <c r="F129" s="837"/>
      <c r="G129" s="837"/>
      <c r="H129" s="885"/>
      <c r="I129" s="885"/>
      <c r="J129" s="885"/>
      <c r="K129" s="885"/>
      <c r="L129" s="885"/>
      <c r="M129" s="837"/>
      <c r="N129" s="884"/>
      <c r="O129" s="952"/>
      <c r="P129" s="952"/>
      <c r="Q129" s="952"/>
      <c r="R129" s="952"/>
      <c r="S129" s="837"/>
      <c r="T129" s="837"/>
      <c r="U129" s="837"/>
      <c r="V129" s="837"/>
      <c r="W129" s="837"/>
      <c r="X129" s="837"/>
      <c r="Y129" s="995"/>
      <c r="Z129" s="840"/>
      <c r="AA129" s="843"/>
      <c r="AB129" s="840"/>
      <c r="AC129" s="840"/>
      <c r="AD129" s="840"/>
    </row>
    <row customHeight="1" ht="9">
      <c r="A130" s="839"/>
      <c r="B130" s="839"/>
      <c r="C130" s="837"/>
      <c r="D130" s="837"/>
      <c r="E130" s="837"/>
      <c r="F130" s="837"/>
      <c r="G130" s="837"/>
      <c r="H130" s="885"/>
      <c r="I130" s="885"/>
      <c r="J130" s="885"/>
      <c r="K130" s="885"/>
      <c r="L130" s="885"/>
      <c r="M130" s="837"/>
      <c r="N130" s="884"/>
      <c r="O130" s="954"/>
      <c r="P130" s="954"/>
      <c r="Q130" s="954"/>
      <c r="R130" s="954"/>
      <c r="S130" s="837"/>
      <c r="T130" s="837"/>
      <c r="U130" s="837"/>
      <c r="V130" s="837"/>
      <c r="W130" s="837"/>
      <c r="X130" s="837"/>
      <c r="Y130" s="995"/>
      <c r="Z130" s="840"/>
      <c r="AA130" s="843"/>
      <c r="AB130" s="840"/>
      <c r="AC130" s="840"/>
      <c r="AD130" s="840"/>
    </row>
    <row customHeight="1" ht="9">
      <c r="A131" s="839"/>
      <c r="B131" s="839"/>
      <c r="C131" s="837"/>
      <c r="D131" s="837"/>
      <c r="E131" s="837"/>
      <c r="F131" s="837"/>
      <c r="G131" s="837"/>
      <c r="H131" s="885"/>
      <c r="I131" s="885"/>
      <c r="J131" s="885"/>
      <c r="K131" s="885"/>
      <c r="L131" s="885"/>
      <c r="M131" s="837"/>
      <c r="N131" s="884"/>
      <c r="O131" s="955"/>
      <c r="P131" s="955"/>
      <c r="Q131" s="955"/>
      <c r="R131" s="955"/>
      <c r="S131" s="837"/>
      <c r="T131" s="837"/>
      <c r="U131" s="837"/>
      <c r="V131" s="837"/>
      <c r="W131" s="837"/>
      <c r="X131" s="837"/>
      <c r="Y131" s="995"/>
      <c r="Z131" s="840"/>
      <c r="AA131" s="843"/>
      <c r="AB131" s="840"/>
      <c r="AC131" s="840"/>
      <c r="AD131" s="840"/>
    </row>
    <row customHeight="1" ht="9">
      <c r="A132" s="839"/>
      <c r="B132" s="839"/>
      <c r="C132" s="837"/>
      <c r="D132" s="837"/>
      <c r="E132" s="837"/>
      <c r="F132" s="837"/>
      <c r="G132" s="837"/>
      <c r="H132" s="885"/>
      <c r="I132" s="885"/>
      <c r="J132" s="885"/>
      <c r="K132" s="885"/>
      <c r="L132" s="885"/>
      <c r="M132" s="837"/>
      <c r="N132" s="884"/>
      <c r="O132" s="954"/>
      <c r="P132" s="954"/>
      <c r="Q132" s="954"/>
      <c r="R132" s="954"/>
      <c r="S132" s="837"/>
      <c r="T132" s="837"/>
      <c r="U132" s="837"/>
      <c r="V132" s="837"/>
      <c r="W132" s="837"/>
      <c r="X132" s="837"/>
      <c r="Y132" s="995"/>
      <c r="Z132" s="840"/>
      <c r="AA132" s="843"/>
      <c r="AB132" s="840"/>
      <c r="AC132" s="840"/>
      <c r="AD132" s="840"/>
    </row>
    <row customHeight="1" ht="9">
      <c r="A133" s="839"/>
      <c r="B133" s="839"/>
      <c r="C133" s="837"/>
      <c r="D133" s="837"/>
      <c r="E133" s="837"/>
      <c r="F133" s="837"/>
      <c r="G133" s="837"/>
      <c r="H133" s="885"/>
      <c r="I133" s="885"/>
      <c r="J133" s="885"/>
      <c r="K133" s="885"/>
      <c r="L133" s="885"/>
      <c r="M133" s="837"/>
      <c r="N133" s="884"/>
      <c r="O133" s="955"/>
      <c r="P133" s="955"/>
      <c r="Q133" s="955"/>
      <c r="R133" s="955"/>
      <c r="S133" s="837"/>
      <c r="T133" s="837"/>
      <c r="U133" s="837"/>
      <c r="V133" s="837"/>
      <c r="W133" s="837"/>
      <c r="X133" s="837"/>
      <c r="Y133" s="995"/>
      <c r="Z133" s="840"/>
      <c r="AA133" s="843"/>
      <c r="AB133" s="840"/>
      <c r="AC133" s="840"/>
      <c r="AD133" s="840"/>
    </row>
    <row customHeight="1" ht="9">
      <c r="A134" s="839"/>
      <c r="B134" s="839"/>
      <c r="C134" s="837"/>
      <c r="D134" s="837"/>
      <c r="E134" s="837"/>
      <c r="F134" s="837"/>
      <c r="G134" s="837"/>
      <c r="H134" s="885"/>
      <c r="I134" s="885"/>
      <c r="J134" s="885"/>
      <c r="K134" s="885"/>
      <c r="L134" s="885"/>
      <c r="M134" s="837"/>
      <c r="N134" s="884"/>
      <c r="O134" s="952"/>
      <c r="P134" s="952"/>
      <c r="Q134" s="952"/>
      <c r="R134" s="952"/>
      <c r="S134" s="837"/>
      <c r="T134" s="837"/>
      <c r="U134" s="837"/>
      <c r="V134" s="837"/>
      <c r="W134" s="837"/>
      <c r="X134" s="837"/>
      <c r="Y134" s="995"/>
      <c r="Z134" s="840"/>
      <c r="AA134" s="843"/>
      <c r="AB134" s="840"/>
      <c r="AC134" s="840"/>
      <c r="AD134" s="840"/>
    </row>
    <row customHeight="1" ht="9">
      <c r="A135" s="839"/>
      <c r="B135" s="839"/>
      <c r="C135" s="837"/>
      <c r="D135" s="837"/>
      <c r="E135" s="837"/>
      <c r="F135" s="837"/>
      <c r="G135" s="837"/>
      <c r="H135" s="885"/>
      <c r="I135" s="885"/>
      <c r="J135" s="885"/>
      <c r="K135" s="885"/>
      <c r="L135" s="885"/>
      <c r="M135" s="837"/>
      <c r="N135" s="884"/>
      <c r="O135" s="952"/>
      <c r="P135" s="952"/>
      <c r="Q135" s="952"/>
      <c r="R135" s="952"/>
      <c r="S135" s="837"/>
      <c r="T135" s="837"/>
      <c r="U135" s="837"/>
      <c r="V135" s="837"/>
      <c r="W135" s="837"/>
      <c r="X135" s="837"/>
      <c r="Y135" s="995"/>
      <c r="Z135" s="840"/>
      <c r="AA135" s="843"/>
      <c r="AB135" s="840"/>
      <c r="AC135" s="840"/>
      <c r="AD135" s="840"/>
    </row>
    <row customHeight="1" ht="9">
      <c r="A136" s="839"/>
      <c r="B136" s="839"/>
      <c r="C136" s="837"/>
      <c r="D136" s="837"/>
      <c r="E136" s="837"/>
      <c r="F136" s="837"/>
      <c r="G136" s="837"/>
      <c r="H136" s="885"/>
      <c r="I136" s="885"/>
      <c r="J136" s="885"/>
      <c r="K136" s="885"/>
      <c r="L136" s="885"/>
      <c r="M136" s="837"/>
      <c r="N136" s="884"/>
      <c r="O136" s="952"/>
      <c r="P136" s="952"/>
      <c r="Q136" s="952"/>
      <c r="R136" s="952"/>
      <c r="S136" s="837"/>
      <c r="T136" s="837"/>
      <c r="U136" s="837"/>
      <c r="V136" s="837"/>
      <c r="W136" s="837"/>
      <c r="X136" s="837"/>
      <c r="Y136" s="995"/>
      <c r="Z136" s="840"/>
      <c r="AA136" s="843"/>
      <c r="AB136" s="840"/>
      <c r="AC136" s="840"/>
      <c r="AD136" s="840"/>
    </row>
    <row customHeight="1" ht="9">
      <c r="A137" s="839"/>
      <c r="B137" s="839"/>
      <c r="C137" s="837"/>
      <c r="D137" s="837"/>
      <c r="E137" s="837"/>
      <c r="F137" s="837"/>
      <c r="G137" s="837"/>
      <c r="H137" s="885"/>
      <c r="I137" s="885"/>
      <c r="J137" s="885"/>
      <c r="K137" s="885"/>
      <c r="L137" s="885"/>
      <c r="M137" s="837"/>
      <c r="N137" s="884"/>
      <c r="O137" s="956"/>
      <c r="P137" s="956"/>
      <c r="Q137" s="956"/>
      <c r="R137" s="956"/>
      <c r="S137" s="837"/>
      <c r="T137" s="837"/>
      <c r="U137" s="837"/>
      <c r="V137" s="837"/>
      <c r="W137" s="837"/>
      <c r="X137" s="837"/>
      <c r="Y137" s="995"/>
      <c r="Z137" s="840"/>
      <c r="AA137" s="843"/>
      <c r="AB137" s="840"/>
      <c r="AC137" s="840"/>
      <c r="AD137" s="840"/>
    </row>
    <row customHeight="1" ht="9">
      <c r="A138" s="839"/>
      <c r="B138" s="839"/>
      <c r="C138" s="837"/>
      <c r="D138" s="837"/>
      <c r="E138" s="837"/>
      <c r="F138" s="837"/>
      <c r="G138" s="837"/>
      <c r="H138" s="885"/>
      <c r="I138" s="885"/>
      <c r="J138" s="885"/>
      <c r="K138" s="885"/>
      <c r="L138" s="885"/>
      <c r="M138" s="837"/>
      <c r="N138" s="884"/>
      <c r="O138" s="953"/>
      <c r="P138" s="953"/>
      <c r="Q138" s="953"/>
      <c r="R138" s="953"/>
      <c r="S138" s="837"/>
      <c r="T138" s="837"/>
      <c r="U138" s="837"/>
      <c r="V138" s="837"/>
      <c r="W138" s="837"/>
      <c r="X138" s="837"/>
      <c r="Y138" s="995"/>
      <c r="Z138" s="840"/>
      <c r="AA138" s="843"/>
      <c r="AB138" s="840"/>
      <c r="AC138" s="840"/>
      <c r="AD138" s="840"/>
    </row>
    <row customHeight="1" ht="9">
      <c r="A139" s="839"/>
      <c r="B139" s="839"/>
      <c r="C139" s="837"/>
      <c r="D139" s="837"/>
      <c r="E139" s="837"/>
      <c r="F139" s="837"/>
      <c r="G139" s="837"/>
      <c r="H139" s="885"/>
      <c r="I139" s="885"/>
      <c r="J139" s="885"/>
      <c r="K139" s="885"/>
      <c r="L139" s="885"/>
      <c r="M139" s="837"/>
      <c r="N139" s="884"/>
      <c r="O139" s="837"/>
      <c r="P139" s="837"/>
      <c r="Q139" s="837"/>
      <c r="R139" s="837"/>
      <c r="S139" s="837"/>
      <c r="T139" s="837"/>
      <c r="U139" s="837"/>
      <c r="V139" s="837"/>
      <c r="W139" s="837"/>
      <c r="X139" s="837"/>
      <c r="Y139" s="995"/>
      <c r="Z139" s="840"/>
      <c r="AA139" s="843"/>
      <c r="AB139" s="840"/>
      <c r="AC139" s="840"/>
      <c r="AD139" s="840"/>
    </row>
    <row customHeight="1" ht="9">
      <c r="A140" s="839"/>
      <c r="B140" s="839"/>
      <c r="C140" s="837"/>
      <c r="D140" s="837"/>
      <c r="E140" s="837"/>
      <c r="F140" s="837"/>
      <c r="G140" s="837"/>
      <c r="H140" s="885"/>
      <c r="I140" s="885"/>
      <c r="J140" s="885"/>
      <c r="K140" s="885"/>
      <c r="L140" s="885"/>
      <c r="M140" s="837"/>
      <c r="N140" s="884"/>
      <c r="O140" s="837"/>
      <c r="P140" s="837"/>
      <c r="Q140" s="837"/>
      <c r="R140" s="837"/>
      <c r="S140" s="837"/>
      <c r="T140" s="837"/>
      <c r="U140" s="837"/>
      <c r="V140" s="837"/>
      <c r="W140" s="837"/>
      <c r="X140" s="837"/>
      <c r="Y140" s="995"/>
      <c r="Z140" s="840"/>
      <c r="AA140" s="843"/>
      <c r="AB140" s="840"/>
      <c r="AC140" s="840"/>
      <c r="AD140" s="840"/>
    </row>
    <row customHeight="1" ht="9">
      <c r="A141" s="839"/>
      <c r="B141" s="839"/>
      <c r="C141" s="837"/>
      <c r="D141" s="837"/>
      <c r="E141" s="837"/>
      <c r="F141" s="837"/>
      <c r="G141" s="837"/>
      <c r="H141" s="885"/>
      <c r="I141" s="885"/>
      <c r="J141" s="885"/>
      <c r="K141" s="885"/>
      <c r="L141" s="885"/>
      <c r="M141" s="837"/>
      <c r="N141" s="884"/>
      <c r="O141" s="837"/>
      <c r="P141" s="837"/>
      <c r="Q141" s="837"/>
      <c r="R141" s="837"/>
      <c r="S141" s="837"/>
      <c r="T141" s="837"/>
      <c r="U141" s="837"/>
      <c r="V141" s="837"/>
      <c r="W141" s="837"/>
      <c r="X141" s="837"/>
      <c r="Y141" s="995"/>
      <c r="Z141" s="840"/>
      <c r="AA141" s="843"/>
      <c r="AB141" s="840"/>
      <c r="AC141" s="840"/>
      <c r="AD141" s="840"/>
    </row>
    <row customHeight="1" ht="9">
      <c r="A142" s="839"/>
      <c r="B142" s="839"/>
      <c r="C142" s="837"/>
      <c r="D142" s="837"/>
      <c r="E142" s="837"/>
      <c r="F142" s="837"/>
      <c r="G142" s="837"/>
      <c r="H142" s="885"/>
      <c r="I142" s="885"/>
      <c r="J142" s="885"/>
      <c r="K142" s="885"/>
      <c r="L142" s="885"/>
      <c r="M142" s="837"/>
      <c r="N142" s="884"/>
      <c r="O142" s="837"/>
      <c r="P142" s="837"/>
      <c r="Q142" s="837"/>
      <c r="R142" s="837"/>
      <c r="S142" s="837"/>
      <c r="T142" s="837"/>
      <c r="U142" s="837"/>
      <c r="V142" s="837"/>
      <c r="W142" s="837"/>
      <c r="X142" s="837"/>
      <c r="Y142" s="995"/>
      <c r="Z142" s="840"/>
      <c r="AA142" s="843"/>
      <c r="AB142" s="840"/>
      <c r="AC142" s="840"/>
      <c r="AD142" s="840"/>
    </row>
    <row customHeight="1" ht="9">
      <c r="A143" s="839"/>
      <c r="B143" s="839"/>
      <c r="C143" s="837"/>
      <c r="D143" s="837"/>
      <c r="E143" s="837"/>
      <c r="F143" s="837"/>
      <c r="G143" s="837"/>
      <c r="H143" s="885"/>
      <c r="I143" s="885"/>
      <c r="J143" s="885"/>
      <c r="K143" s="885"/>
      <c r="L143" s="885"/>
      <c r="M143" s="837"/>
      <c r="N143" s="884"/>
      <c r="O143" s="837"/>
      <c r="P143" s="837"/>
      <c r="Q143" s="837"/>
      <c r="R143" s="837"/>
      <c r="S143" s="837"/>
      <c r="T143" s="837"/>
      <c r="U143" s="837"/>
      <c r="V143" s="837"/>
      <c r="W143" s="837"/>
      <c r="X143" s="837"/>
      <c r="Y143" s="995"/>
      <c r="Z143" s="840"/>
      <c r="AA143" s="843"/>
      <c r="AB143" s="840"/>
      <c r="AC143" s="840"/>
      <c r="AD143" s="840"/>
    </row>
    <row customHeight="1" ht="9">
      <c r="A144" s="839"/>
      <c r="B144" s="839"/>
      <c r="C144" s="837"/>
      <c r="D144" s="837"/>
      <c r="E144" s="837"/>
      <c r="F144" s="837"/>
      <c r="G144" s="837"/>
      <c r="H144" s="885"/>
      <c r="I144" s="885"/>
      <c r="J144" s="885"/>
      <c r="K144" s="885"/>
      <c r="L144" s="885"/>
      <c r="M144" s="837"/>
      <c r="N144" s="884"/>
      <c r="O144" s="837"/>
      <c r="P144" s="837"/>
      <c r="Q144" s="837"/>
      <c r="R144" s="837"/>
      <c r="S144" s="837"/>
      <c r="T144" s="837"/>
      <c r="U144" s="837"/>
      <c r="V144" s="837"/>
      <c r="W144" s="837"/>
      <c r="X144" s="837"/>
      <c r="Y144" s="995"/>
      <c r="Z144" s="840"/>
      <c r="AA144" s="843"/>
      <c r="AB144" s="840"/>
      <c r="AC144" s="840"/>
      <c r="AD144" s="840"/>
    </row>
    <row customHeight="1" ht="9">
      <c r="A145" s="839"/>
      <c r="B145" s="839"/>
      <c r="C145" s="837"/>
      <c r="D145" s="837"/>
      <c r="E145" s="837"/>
      <c r="F145" s="837"/>
      <c r="G145" s="837"/>
      <c r="H145" s="885"/>
      <c r="I145" s="885"/>
      <c r="J145" s="885"/>
      <c r="K145" s="885"/>
      <c r="L145" s="885"/>
      <c r="M145" s="837"/>
      <c r="N145" s="884"/>
      <c r="O145" s="837"/>
      <c r="P145" s="837"/>
      <c r="Q145" s="837"/>
      <c r="R145" s="837"/>
      <c r="S145" s="837"/>
      <c r="T145" s="837"/>
      <c r="U145" s="837"/>
      <c r="V145" s="837"/>
      <c r="W145" s="837"/>
      <c r="X145" s="837"/>
      <c r="Y145" s="995"/>
      <c r="Z145" s="840"/>
      <c r="AA145" s="843"/>
      <c r="AB145" s="840"/>
      <c r="AC145" s="840"/>
      <c r="AD145" s="840"/>
    </row>
    <row customHeight="1" ht="9">
      <c r="A146" s="839"/>
      <c r="B146" s="839"/>
      <c r="C146" s="837"/>
      <c r="D146" s="837"/>
      <c r="E146" s="837"/>
      <c r="F146" s="837"/>
      <c r="G146" s="837"/>
      <c r="H146" s="885"/>
      <c r="I146" s="885"/>
      <c r="J146" s="885"/>
      <c r="K146" s="885"/>
      <c r="L146" s="885"/>
      <c r="M146" s="837"/>
      <c r="N146" s="884"/>
      <c r="O146" s="837"/>
      <c r="P146" s="837"/>
      <c r="Q146" s="837"/>
      <c r="R146" s="837"/>
      <c r="S146" s="837"/>
      <c r="T146" s="837"/>
      <c r="U146" s="837"/>
      <c r="V146" s="837"/>
      <c r="W146" s="837"/>
      <c r="X146" s="837"/>
      <c r="Y146" s="995"/>
      <c r="Z146" s="840"/>
      <c r="AA146" s="843"/>
      <c r="AB146" s="840"/>
      <c r="AC146" s="840"/>
      <c r="AD146" s="840"/>
    </row>
    <row customHeight="1" ht="9">
      <c r="A147" s="839"/>
      <c r="B147" s="839"/>
      <c r="C147" s="839"/>
      <c r="D147" s="839"/>
      <c r="E147" s="839"/>
      <c r="F147" s="839"/>
      <c r="G147" s="839"/>
      <c r="H147" s="839"/>
      <c r="I147" s="839"/>
      <c r="J147" s="839"/>
      <c r="K147" s="839"/>
      <c r="L147" s="839"/>
      <c r="M147" s="839"/>
      <c r="N147" s="839"/>
      <c r="O147" s="839"/>
      <c r="P147" s="839"/>
      <c r="Q147" s="839"/>
      <c r="R147" s="839"/>
      <c r="S147" s="839"/>
      <c r="T147" s="839"/>
      <c r="U147" s="839"/>
      <c r="V147" s="839"/>
      <c r="W147" s="839"/>
      <c r="X147" s="839"/>
      <c r="Y147" s="839"/>
      <c r="Z147" s="839"/>
      <c r="AA147" s="839"/>
      <c r="AB147" s="839"/>
      <c r="AC147" s="839"/>
      <c r="AD147" s="839"/>
    </row>
    <row customHeight="1" ht="90">
      <c r="A148" s="839" t="s">
        <v>1661</v>
      </c>
      <c r="B148" s="839"/>
      <c r="C148" s="837" t="s">
        <v>2135</v>
      </c>
      <c r="D148" s="837" t="s">
        <v>1563</v>
      </c>
      <c r="E148" s="837" t="s">
        <v>1663</v>
      </c>
      <c r="F148" s="837" t="s">
        <v>2136</v>
      </c>
      <c r="G148" s="837"/>
      <c r="H148" s="837"/>
      <c r="I148" s="958"/>
      <c r="J148" s="958"/>
      <c r="K148" s="958"/>
      <c r="L148" s="958"/>
      <c r="M148" s="887"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2"/>
      <c r="O148" s="837"/>
      <c r="P148" s="838"/>
      <c r="Q148" s="838"/>
      <c r="R148" s="838"/>
      <c r="S148" s="837"/>
      <c r="T148" s="837" t="s">
        <v>2137</v>
      </c>
      <c r="U148" s="83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38"/>
      <c r="W148" s="838"/>
      <c r="X148" s="837" t="s">
        <v>2138</v>
      </c>
      <c r="Y148" s="995"/>
      <c r="Z148" s="840"/>
      <c r="AA148" s="843"/>
      <c r="AB148" s="840"/>
      <c r="AC148" s="840"/>
      <c r="AD148" s="840"/>
    </row>
    <row customHeight="1" ht="9">
      <c r="A149" s="839"/>
      <c r="B149" s="839"/>
      <c r="C149" s="839"/>
      <c r="D149" s="839"/>
      <c r="E149" s="839"/>
      <c r="F149" s="839"/>
      <c r="G149" s="839"/>
      <c r="H149" s="839"/>
      <c r="I149" s="839"/>
      <c r="J149" s="839"/>
      <c r="K149" s="839"/>
      <c r="L149" s="839"/>
      <c r="M149" s="839"/>
      <c r="N149" s="839"/>
      <c r="O149" s="839"/>
      <c r="P149" s="839"/>
      <c r="Q149" s="839"/>
      <c r="R149" s="839"/>
      <c r="S149" s="839"/>
      <c r="T149" s="839"/>
      <c r="U149" s="839"/>
      <c r="V149" s="839"/>
      <c r="W149" s="839"/>
      <c r="X149" s="839"/>
      <c r="Y149" s="839"/>
      <c r="Z149" s="839"/>
      <c r="AA149" s="839"/>
      <c r="AB149" s="839"/>
      <c r="AC149" s="839"/>
      <c r="AD149" s="839"/>
    </row>
    <row customHeight="1" ht="9">
      <c r="A150" s="839" t="s">
        <v>1665</v>
      </c>
      <c r="B150" s="839"/>
      <c r="C150" s="837"/>
      <c r="D150" s="837"/>
      <c r="E150" s="837"/>
      <c r="F150" s="837"/>
      <c r="G150" s="837"/>
      <c r="H150" s="837"/>
      <c r="I150" s="837"/>
      <c r="J150" s="837"/>
      <c r="K150" s="837"/>
      <c r="L150" s="837"/>
      <c r="M150" s="837"/>
      <c r="N150" s="837"/>
      <c r="O150" s="837"/>
      <c r="P150" s="837"/>
      <c r="Q150" s="837"/>
      <c r="R150" s="837"/>
      <c r="S150" s="837"/>
      <c r="T150" s="837"/>
      <c r="U150" s="837"/>
      <c r="V150" s="837"/>
      <c r="W150" s="837"/>
      <c r="X150" s="837"/>
      <c r="Y150" s="995"/>
      <c r="Z150" s="840"/>
      <c r="AA150" s="843"/>
      <c r="AB150" s="840"/>
      <c r="AC150" s="840"/>
      <c r="AD150" s="840"/>
    </row>
    <row customHeight="1" ht="9">
      <c r="A151" s="839"/>
      <c r="B151" s="839"/>
      <c r="C151" s="839"/>
      <c r="D151" s="839"/>
      <c r="E151" s="839"/>
      <c r="F151" s="839"/>
      <c r="G151" s="839"/>
      <c r="H151" s="839"/>
      <c r="I151" s="839"/>
      <c r="J151" s="839"/>
      <c r="K151" s="839"/>
      <c r="L151" s="839"/>
      <c r="M151" s="839"/>
      <c r="N151" s="839"/>
      <c r="O151" s="839"/>
      <c r="P151" s="839"/>
      <c r="Q151" s="839"/>
      <c r="R151" s="839"/>
      <c r="S151" s="839"/>
      <c r="T151" s="839"/>
      <c r="U151" s="839"/>
      <c r="V151" s="839"/>
      <c r="W151" s="839"/>
      <c r="X151" s="839"/>
      <c r="Y151" s="839"/>
      <c r="Z151" s="839"/>
      <c r="AA151" s="839"/>
      <c r="AB151" s="839"/>
      <c r="AC151" s="839"/>
      <c r="AD151" s="839"/>
    </row>
    <row customHeight="1" ht="9">
      <c r="A152" s="839" t="s">
        <v>1668</v>
      </c>
      <c r="B152" s="839"/>
      <c r="C152" s="837"/>
      <c r="D152" s="837"/>
      <c r="E152" s="837"/>
      <c r="F152" s="837"/>
      <c r="G152" s="837"/>
      <c r="H152" s="837"/>
      <c r="I152" s="837"/>
      <c r="J152" s="837"/>
      <c r="K152" s="837"/>
      <c r="L152" s="837"/>
      <c r="M152" s="837"/>
      <c r="N152" s="837"/>
      <c r="O152" s="837"/>
      <c r="P152" s="837"/>
      <c r="Q152" s="837"/>
      <c r="R152" s="837"/>
      <c r="S152" s="837"/>
      <c r="T152" s="837"/>
      <c r="U152" s="837"/>
      <c r="V152" s="837"/>
      <c r="W152" s="837"/>
      <c r="X152" s="837"/>
      <c r="Y152" s="995"/>
      <c r="Z152" s="840"/>
      <c r="AA152" s="843"/>
      <c r="AB152" s="840"/>
      <c r="AC152" s="840"/>
      <c r="AD152" s="840"/>
    </row>
    <row customHeight="1" ht="9">
      <c r="A153" s="839"/>
      <c r="B153" s="839"/>
      <c r="C153" s="839"/>
      <c r="D153" s="839"/>
      <c r="E153" s="839"/>
      <c r="F153" s="839"/>
      <c r="G153" s="839"/>
      <c r="H153" s="839"/>
      <c r="I153" s="839"/>
      <c r="J153" s="839"/>
      <c r="K153" s="839"/>
      <c r="L153" s="839"/>
      <c r="M153" s="839"/>
      <c r="N153" s="839"/>
      <c r="O153" s="839"/>
      <c r="P153" s="839"/>
      <c r="Q153" s="839"/>
      <c r="R153" s="839"/>
      <c r="S153" s="839"/>
      <c r="T153" s="839"/>
      <c r="U153" s="839"/>
      <c r="V153" s="839"/>
      <c r="W153" s="839"/>
      <c r="X153" s="839"/>
      <c r="Y153" s="839"/>
      <c r="Z153" s="839"/>
      <c r="AA153" s="839"/>
      <c r="AB153" s="839"/>
      <c r="AC153" s="839"/>
      <c r="AD153" s="839"/>
    </row>
    <row customHeight="1" ht="9">
      <c r="A154" s="839" t="s">
        <v>1673</v>
      </c>
      <c r="B154" s="839"/>
      <c r="C154" s="837"/>
      <c r="D154" s="837"/>
      <c r="E154" s="837"/>
      <c r="F154" s="837"/>
      <c r="G154" s="837"/>
      <c r="H154" s="837"/>
      <c r="I154" s="837"/>
      <c r="J154" s="837"/>
      <c r="K154" s="837"/>
      <c r="L154" s="837"/>
      <c r="M154" s="837"/>
      <c r="N154" s="837"/>
      <c r="O154" s="837"/>
      <c r="P154" s="837"/>
      <c r="Q154" s="837"/>
      <c r="R154" s="837"/>
      <c r="S154" s="837"/>
      <c r="T154" s="837"/>
      <c r="U154" s="837"/>
      <c r="V154" s="837"/>
      <c r="W154" s="837"/>
      <c r="X154" s="837"/>
      <c r="Y154" s="995"/>
      <c r="Z154" s="840"/>
      <c r="AA154" s="843"/>
      <c r="AB154" s="840"/>
      <c r="AC154" s="840"/>
      <c r="AD154" s="840"/>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D235C1-3305-3EC6-71F1-7804AFC856D7}"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2.28125" hidden="1" customWidth="1"/>
    <col min="6" max="8" style="1801" width="12.28125" hidden="1" customWidth="1"/>
    <col min="9" max="9" style="2216" width="3.7109375" customWidth="1"/>
    <col min="10" max="11" style="332" width="3.7109375" customWidth="1"/>
    <col min="12" max="12" style="2229" width="12.7109375" customWidth="1"/>
    <col min="13" max="13" style="1660" width="32.00390625" customWidth="1"/>
    <col min="14" max="14" style="1660" width="1.7109375" customWidth="1"/>
    <col min="15" max="18" style="1660" width="24.7109375" customWidth="1"/>
    <col min="19" max="19" style="1660" width="11.7109375" customWidth="1"/>
    <col min="20" max="20" style="1660" width="3.7109375" customWidth="1"/>
    <col min="21" max="21" style="1660" width="11.7109375" customWidth="1"/>
    <col min="22" max="22" style="1660" width="8.57421875" customWidth="1"/>
    <col min="23" max="23" style="1660" width="4.7109375" customWidth="1"/>
    <col min="24" max="24" style="1660" width="115.7109375" customWidth="1"/>
    <col min="25" max="26" style="1667" width="10.57421875"/>
    <col min="27" max="27" style="1667" width="11.140625" customWidth="1"/>
    <col min="28" max="29" style="1667" width="10.57421875"/>
  </cols>
  <sheetData>
    <row customHeight="1" ht="14.25" hidden="1">
      <c r="R1" s="315"/>
      <c r="S1" s="315"/>
    </row>
    <row customHeight="1" ht="14.25" hidden="1">
      <c r="V2" s="315"/>
    </row>
    <row customHeight="1" ht="14.25" hidden="1"/>
    <row customHeight="1" ht="14.25">
      <c r="J4" s="368"/>
      <c r="K4" s="368"/>
      <c r="L4" s="1292"/>
      <c r="M4" s="353"/>
      <c r="N4" s="353"/>
      <c r="O4" s="505"/>
      <c r="P4" s="505"/>
      <c r="Q4" s="505"/>
      <c r="R4" s="505"/>
      <c r="S4" s="505"/>
      <c r="T4" s="505"/>
      <c r="U4" s="505"/>
      <c r="V4" s="505"/>
    </row>
    <row customHeight="1" ht="64.5">
      <c r="J5" s="368"/>
      <c r="K5" s="368"/>
      <c r="L5" s="2423" t="s">
        <v>2139</v>
      </c>
      <c r="M5" s="2423"/>
      <c r="N5" s="2423"/>
      <c r="O5" s="2423"/>
      <c r="P5" s="2423"/>
      <c r="Q5" s="2423"/>
      <c r="R5" s="2423"/>
      <c r="S5" s="2423"/>
      <c r="T5" s="2423"/>
      <c r="U5" s="2423"/>
      <c r="V5" s="1248"/>
    </row>
    <row customHeight="1" ht="14.25">
      <c r="J6" s="368"/>
      <c r="K6" s="368"/>
      <c r="L6" s="2424" t="str">
        <f>IF(org=0,"Не определено",org)</f>
        <v>ООО "ПРОМ ИМПУЛЬС"</v>
      </c>
      <c r="M6" s="2424"/>
      <c r="N6" s="2424"/>
      <c r="O6" s="2424"/>
      <c r="P6" s="2424"/>
      <c r="Q6" s="2424"/>
      <c r="R6" s="2424"/>
      <c r="S6" s="2424"/>
      <c r="T6" s="2424"/>
      <c r="U6" s="2424"/>
      <c r="V6" s="1248"/>
    </row>
    <row customHeight="1" ht="14.25">
      <c r="J7" s="368"/>
      <c r="K7" s="368"/>
      <c r="L7" s="1292"/>
      <c r="M7" s="353"/>
      <c r="N7" s="353"/>
      <c r="O7" s="308"/>
      <c r="P7" s="308"/>
      <c r="Q7" s="308"/>
      <c r="R7" s="308"/>
      <c r="S7" s="308"/>
      <c r="T7" s="308"/>
      <c r="U7" s="308"/>
      <c r="V7" s="308"/>
      <c r="W7" s="505"/>
    </row>
    <row s="1877" customFormat="1" customHeight="1" ht="45">
      <c r="A8" s="1385"/>
      <c r="B8" s="1385"/>
      <c r="C8" s="1385"/>
      <c r="D8" s="1385"/>
      <c r="E8" s="1385"/>
      <c r="F8" s="1385"/>
      <c r="G8" s="1385"/>
      <c r="H8" s="1385"/>
      <c r="L8" s="1293"/>
      <c r="M8" s="275" t="s">
        <v>38</v>
      </c>
      <c r="N8" s="284"/>
      <c r="O8" s="2082" t="str">
        <f>IF(TITLE_NAME_OR_PR_CHANGE="",IF(TITLE_NAME_OR_PR="","",TITLE_NAME_OR_PR),TITLE_NAME_OR_PR_CHANGE)</f>
        <v>Комитет по тарифам Санкт-Петербурга</v>
      </c>
      <c r="P8" s="2082"/>
      <c r="Q8" s="2082"/>
      <c r="R8" s="2082"/>
      <c r="S8" s="2082"/>
      <c r="T8" s="2082"/>
      <c r="U8" s="2082"/>
      <c r="V8" s="314"/>
      <c r="W8" s="314"/>
      <c r="X8" s="261"/>
      <c r="Y8" s="360"/>
      <c r="Z8" s="360"/>
      <c r="AA8" s="360"/>
      <c r="AB8" s="360"/>
      <c r="AC8" s="360"/>
    </row>
    <row s="1877" customFormat="1" customHeight="1" ht="22.5">
      <c r="A9" s="1385"/>
      <c r="B9" s="1385"/>
      <c r="C9" s="1385"/>
      <c r="D9" s="1385"/>
      <c r="E9" s="1385"/>
      <c r="F9" s="1385"/>
      <c r="G9" s="1385"/>
      <c r="H9" s="1385"/>
      <c r="L9" s="1293"/>
      <c r="M9" s="275" t="s">
        <v>427</v>
      </c>
      <c r="N9" s="284"/>
      <c r="O9" s="2082" t="str">
        <f>IF(TITLE_DATE_CHANGE_PERIOD="",IF(TITLE_DATE_PR="","",TITLE_DATE_PR),TITLE_DATE_CHANGE_PERIOD)</f>
        <v>45268.58207175926</v>
      </c>
      <c r="P9" s="2082"/>
      <c r="Q9" s="2082"/>
      <c r="R9" s="2082"/>
      <c r="S9" s="2082"/>
      <c r="T9" s="2082"/>
      <c r="U9" s="2082"/>
      <c r="V9" s="314"/>
      <c r="W9" s="314"/>
      <c r="X9" s="261"/>
      <c r="Y9" s="360"/>
      <c r="Z9" s="360"/>
      <c r="AA9" s="360"/>
      <c r="AB9" s="360"/>
      <c r="AC9" s="360"/>
    </row>
    <row s="1877" customFormat="1" customHeight="1" ht="22.5">
      <c r="A10" s="1385"/>
      <c r="B10" s="1385"/>
      <c r="C10" s="1385"/>
      <c r="D10" s="1385"/>
      <c r="E10" s="1385"/>
      <c r="F10" s="1385"/>
      <c r="G10" s="1385"/>
      <c r="H10" s="1385"/>
      <c r="L10" s="1256"/>
      <c r="M10" s="275" t="s">
        <v>428</v>
      </c>
      <c r="N10" s="284"/>
      <c r="O10" s="2082" t="str">
        <f>IF(TITLE_NUMBER_PR_CHANGE="",IF(TITLE_NUMBER_PR="","",TITLE_NUMBER_PR),TITLE_NUMBER_PR_CHANGE)</f>
        <v>237-р</v>
      </c>
      <c r="P10" s="2082"/>
      <c r="Q10" s="2082"/>
      <c r="R10" s="2082"/>
      <c r="S10" s="2082"/>
      <c r="T10" s="2082"/>
      <c r="U10" s="2082"/>
      <c r="V10" s="314"/>
      <c r="W10" s="314"/>
      <c r="X10" s="261"/>
      <c r="Y10" s="360"/>
      <c r="Z10" s="360"/>
      <c r="AA10" s="360"/>
      <c r="AB10" s="360"/>
      <c r="AC10" s="360"/>
    </row>
    <row s="1877" customFormat="1" customHeight="1" ht="22.5">
      <c r="A11" s="1385"/>
      <c r="B11" s="1385"/>
      <c r="C11" s="1385"/>
      <c r="D11" s="1385"/>
      <c r="E11" s="1385"/>
      <c r="F11" s="1385"/>
      <c r="G11" s="1385"/>
      <c r="H11" s="1385"/>
      <c r="L11" s="1256"/>
      <c r="M11" s="275" t="s">
        <v>40</v>
      </c>
      <c r="N11" s="284"/>
      <c r="O11" s="2082" t="str">
        <f>IF(TITLE_IST_PUB_CHANGE="",IF(TITLE_IST_PUB="","",TITLE_IST_PUB),TITLE_IST_PUB_CHANGE)</f>
        <v>https://www.gov.spb.ru/gov/otrasl/energ_kom/inform_/standarty-raskrytiya-informacii-komitetom/teplo/</v>
      </c>
      <c r="P11" s="2082"/>
      <c r="Q11" s="2082"/>
      <c r="R11" s="2082"/>
      <c r="S11" s="2082"/>
      <c r="T11" s="2082"/>
      <c r="U11" s="2082"/>
      <c r="V11" s="314"/>
      <c r="W11" s="314"/>
      <c r="X11" s="261"/>
      <c r="Y11" s="360"/>
      <c r="Z11" s="360"/>
      <c r="AA11" s="360"/>
      <c r="AB11" s="360"/>
      <c r="AC11" s="360"/>
    </row>
    <row s="1877" customFormat="1" customHeight="1" ht="11.25" hidden="1">
      <c r="A12" s="1385"/>
      <c r="B12" s="1385"/>
      <c r="C12" s="1385"/>
      <c r="D12" s="1385"/>
      <c r="E12" s="1385"/>
      <c r="F12" s="1385"/>
      <c r="G12" s="1385"/>
      <c r="H12" s="1385"/>
      <c r="L12" s="2422"/>
      <c r="M12" s="2422"/>
      <c r="N12" s="1304"/>
      <c r="O12" s="314"/>
      <c r="P12" s="314"/>
      <c r="Q12" s="314"/>
      <c r="R12" s="314"/>
      <c r="S12" s="314"/>
      <c r="T12" s="314"/>
      <c r="U12" s="314"/>
      <c r="V12" s="259" t="s">
        <v>431</v>
      </c>
      <c r="Y12" s="360"/>
      <c r="Z12" s="360"/>
      <c r="AA12" s="360"/>
      <c r="AB12" s="360"/>
      <c r="AC12" s="360"/>
    </row>
    <row customHeight="1" ht="14.25">
      <c r="J13" s="368"/>
      <c r="K13" s="368"/>
      <c r="L13" s="1292"/>
      <c r="M13" s="353"/>
      <c r="N13" s="1249"/>
      <c r="O13" s="2106"/>
      <c r="P13" s="2106"/>
      <c r="Q13" s="2106"/>
      <c r="R13" s="2106"/>
      <c r="S13" s="2106"/>
      <c r="T13" s="2106"/>
      <c r="U13" s="2106"/>
      <c r="V13" s="2106"/>
    </row>
    <row customHeight="1" ht="14.25">
      <c r="J14" s="368"/>
      <c r="K14" s="368"/>
      <c r="L14" s="1953" t="s">
        <v>305</v>
      </c>
      <c r="M14" s="1953"/>
      <c r="N14" s="1953"/>
      <c r="O14" s="1953"/>
      <c r="P14" s="1953"/>
      <c r="Q14" s="1953"/>
      <c r="R14" s="1953"/>
      <c r="S14" s="1953"/>
      <c r="T14" s="1953"/>
      <c r="U14" s="1953"/>
      <c r="V14" s="1953"/>
      <c r="W14" s="1953"/>
      <c r="X14" s="1953" t="s">
        <v>306</v>
      </c>
    </row>
    <row customHeight="1" ht="14.25">
      <c r="J15" s="368"/>
      <c r="K15" s="368"/>
      <c r="L15" s="2107" t="s">
        <v>87</v>
      </c>
      <c r="M15" s="2044" t="s">
        <v>432</v>
      </c>
      <c r="N15" s="281"/>
      <c r="O15" s="2108" t="s">
        <v>2140</v>
      </c>
      <c r="P15" s="2109"/>
      <c r="Q15" s="2109"/>
      <c r="R15" s="2109"/>
      <c r="S15" s="2109"/>
      <c r="T15" s="2109"/>
      <c r="U15" s="2110"/>
      <c r="V15" s="2111" t="s">
        <v>434</v>
      </c>
      <c r="W15" s="2114" t="s">
        <v>1059</v>
      </c>
      <c r="X15" s="1953"/>
    </row>
    <row customHeight="1" ht="33.75">
      <c r="J16" s="368"/>
      <c r="K16" s="368"/>
      <c r="L16" s="2107"/>
      <c r="M16" s="2044"/>
      <c r="N16" s="1026"/>
      <c r="O16" s="2117" t="s">
        <v>437</v>
      </c>
      <c r="P16" s="2117" t="s">
        <v>438</v>
      </c>
      <c r="Q16" s="2100" t="s">
        <v>439</v>
      </c>
      <c r="R16" s="2102"/>
      <c r="S16" s="2100" t="s">
        <v>452</v>
      </c>
      <c r="T16" s="2101"/>
      <c r="U16" s="2102"/>
      <c r="V16" s="2112"/>
      <c r="W16" s="2115"/>
      <c r="X16" s="1953"/>
    </row>
    <row customHeight="1" ht="33.75">
      <c r="A17" s="1387" t="s">
        <v>133</v>
      </c>
      <c r="B17" s="1387" t="s">
        <v>134</v>
      </c>
      <c r="C17" s="1387" t="s">
        <v>135</v>
      </c>
      <c r="D17" s="1387" t="s">
        <v>136</v>
      </c>
      <c r="E17" s="1387"/>
      <c r="J17" s="368"/>
      <c r="K17" s="368"/>
      <c r="L17" s="2107"/>
      <c r="M17" s="2044"/>
      <c r="N17" s="282"/>
      <c r="O17" s="2118"/>
      <c r="P17" s="2118"/>
      <c r="Q17" s="1224" t="s">
        <v>448</v>
      </c>
      <c r="R17" s="1224" t="s">
        <v>449</v>
      </c>
      <c r="S17" s="1309" t="s">
        <v>450</v>
      </c>
      <c r="T17" s="2103" t="s">
        <v>451</v>
      </c>
      <c r="U17" s="2104"/>
      <c r="V17" s="2113"/>
      <c r="W17" s="2116"/>
      <c r="X17" s="1953"/>
    </row>
    <row s="1666" customFormat="1" customHeight="1" ht="11.25">
      <c r="A18" s="1387"/>
      <c r="B18" s="1387"/>
      <c r="C18" s="1387"/>
      <c r="D18" s="1387"/>
      <c r="E18" s="1387"/>
      <c r="F18" s="1379"/>
      <c r="G18" s="1379"/>
      <c r="H18" s="1379"/>
      <c r="I18" s="1251"/>
      <c r="J18" s="1252"/>
      <c r="K18" s="1267">
        <v>1</v>
      </c>
      <c r="L18" s="1294" t="s">
        <v>108</v>
      </c>
      <c r="M18" s="1268" t="s">
        <v>109</v>
      </c>
      <c r="N18" s="1250" t="str">
        <f>OFFSET(N18,0,-1)</f>
        <v>2</v>
      </c>
      <c r="O18" s="1306">
        <f>OFFSET(O18,0,-1)+1</f>
        <v>3</v>
      </c>
      <c r="P18" s="1306"/>
      <c r="Q18" s="1306">
        <f>OFFSET(Q18,0,-1)+1</f>
        <v>1</v>
      </c>
      <c r="R18" s="1306">
        <f>OFFSET(R18,0,-1)+1</f>
        <v>2</v>
      </c>
      <c r="S18" s="1306">
        <f>OFFSET(S18,0,-1)+1</f>
        <v>3</v>
      </c>
      <c r="T18" s="2105">
        <f>OFFSET(T18,0,-1)+1</f>
        <v>4</v>
      </c>
      <c r="U18" s="2105"/>
      <c r="V18" s="1306">
        <f>OFFSET(V18,0,-2)+1</f>
        <v>5</v>
      </c>
      <c r="W18" s="1250">
        <f>OFFSET(W18,0,-1)</f>
        <v>5</v>
      </c>
      <c r="X18" s="1306">
        <f>OFFSET(X18,0,-1)+1</f>
        <v>6</v>
      </c>
      <c r="Y18" s="507"/>
      <c r="Z18" s="507"/>
      <c r="AA18" s="507"/>
      <c r="AB18" s="507"/>
      <c r="AC18" s="507"/>
    </row>
    <row customHeight="1" ht="21">
      <c r="A19" s="1380" t="s">
        <v>185</v>
      </c>
      <c r="B19" s="1380" t="s">
        <v>186</v>
      </c>
      <c r="C19" s="1380" t="s">
        <v>187</v>
      </c>
      <c r="D19" s="1380" t="s">
        <v>188</v>
      </c>
      <c r="E19" s="1380"/>
      <c r="F19" s="1382"/>
      <c r="G19" s="1382"/>
      <c r="H19" s="1382"/>
      <c r="I19" s="349"/>
      <c r="J19" s="348"/>
      <c r="K19" s="343"/>
      <c r="L19" s="1310">
        <f>INDEX(PT_DIFFERENTIATION_NUM_NTAR,MATCH(A19,PT_DIFFERENTIATION_NTAR_ID,0))</f>
        <v>1</v>
      </c>
      <c r="M19" s="278" t="s">
        <v>122</v>
      </c>
      <c r="N19" s="280"/>
      <c r="O19" s="2416" t="str">
        <f>INDEX(PT_DIFFERENTIATION_NTAR,MATCH(A19,PT_DIFFERENTIATION_NTAR_ID,0))</f>
        <v>Тариф на теплоноситель, поставляемый обществом с ограниченной ответственностью "ПРОМ ИМПУЛЬС" потребителям, расположенным на территории Санкт-Петербурга</v>
      </c>
      <c r="P19" s="2416"/>
      <c r="Q19" s="2416"/>
      <c r="R19" s="2416"/>
      <c r="S19" s="2416"/>
      <c r="T19" s="2416"/>
      <c r="U19" s="2416"/>
      <c r="V19" s="2416"/>
      <c r="W19" s="2416"/>
      <c r="X19" s="1273" t="s">
        <v>403</v>
      </c>
      <c r="Z19" s="496"/>
      <c r="AA19" s="496" t="str">
        <f>IF(M19="","",M19)</f>
        <v>Наименование тарифа</v>
      </c>
      <c r="AB19" s="496"/>
      <c r="AC19" s="496"/>
    </row>
    <row customHeight="1" ht="21">
      <c r="A20" s="1380" t="s">
        <v>185</v>
      </c>
      <c r="B20" s="1380" t="s">
        <v>186</v>
      </c>
      <c r="C20" s="1380" t="s">
        <v>187</v>
      </c>
      <c r="D20" s="1380" t="s">
        <v>188</v>
      </c>
      <c r="E20" s="1380"/>
      <c r="F20" s="1382"/>
      <c r="G20" s="1382"/>
      <c r="H20" s="1382"/>
      <c r="I20" s="1307"/>
      <c r="J20" s="340"/>
      <c r="K20" s="341"/>
      <c r="L20" s="1310" t="str">
        <f>INDEX(PT_DIFFERENTIATION_NUM_TER,MATCH(B19,PT_DIFFERENTIATION_TER_ID,0))</f>
        <v>1.1</v>
      </c>
      <c r="M20" s="290" t="s">
        <v>404</v>
      </c>
      <c r="N20" s="280"/>
      <c r="O20" s="2416" t="str">
        <f>INDEX(PT_DIFFERENTIATION_TER,MATCH(B19,PT_DIFFERENTIATION_TER_ID,0))</f>
        <v>Территория 1</v>
      </c>
      <c r="P20" s="2416"/>
      <c r="Q20" s="2416"/>
      <c r="R20" s="2416"/>
      <c r="S20" s="2416"/>
      <c r="T20" s="2416"/>
      <c r="U20" s="2416"/>
      <c r="V20" s="2416"/>
      <c r="W20" s="2416"/>
      <c r="X20" s="1273" t="s">
        <v>405</v>
      </c>
      <c r="Z20" s="496"/>
      <c r="AA20" s="496" t="str">
        <f>IF(M20="","",M20)</f>
        <v>Территория действия тарифа</v>
      </c>
      <c r="AB20" s="496"/>
      <c r="AC20" s="496"/>
    </row>
    <row customHeight="1" ht="22.5">
      <c r="A21" s="1380" t="s">
        <v>185</v>
      </c>
      <c r="B21" s="1380" t="s">
        <v>186</v>
      </c>
      <c r="C21" s="1380" t="s">
        <v>187</v>
      </c>
      <c r="D21" s="1380" t="s">
        <v>188</v>
      </c>
      <c r="E21" s="1380"/>
      <c r="F21" s="1382"/>
      <c r="G21" s="1382"/>
      <c r="H21" s="1382"/>
      <c r="I21" s="342"/>
      <c r="J21" s="340"/>
      <c r="K21" s="341"/>
      <c r="L21" s="1310" t="str">
        <f>INDEX(PT_DIFFERENTIATION_NUM_CS,MATCH(C19,PT_DIFFERENTIATION_CS_ID,0))</f>
        <v>1.1.1</v>
      </c>
      <c r="M21" s="291" t="s">
        <v>406</v>
      </c>
      <c r="N21" s="280"/>
      <c r="O21" s="2416" t="str">
        <f>INDEX(PT_DIFFERENTIATION_CS,MATCH(C19,PT_DIFFERENTIATION_CS_ID,0))</f>
        <v>без дифференциации</v>
      </c>
      <c r="P21" s="2416"/>
      <c r="Q21" s="2416"/>
      <c r="R21" s="2416"/>
      <c r="S21" s="2416"/>
      <c r="T21" s="2416"/>
      <c r="U21" s="2416"/>
      <c r="V21" s="2416"/>
      <c r="W21" s="2416"/>
      <c r="X21" s="1273" t="s">
        <v>407</v>
      </c>
      <c r="Z21" s="496"/>
      <c r="AA21" s="496" t="str">
        <f>IF(M21="","",M21)</f>
        <v>Наименование системы теплоснабжения </v>
      </c>
      <c r="AB21" s="496"/>
      <c r="AC21" s="496"/>
    </row>
    <row customHeight="1" ht="21">
      <c r="A22" s="1380" t="s">
        <v>185</v>
      </c>
      <c r="B22" s="1380" t="s">
        <v>186</v>
      </c>
      <c r="C22" s="1380" t="s">
        <v>187</v>
      </c>
      <c r="D22" s="1380" t="s">
        <v>188</v>
      </c>
      <c r="E22" s="1380"/>
      <c r="F22" s="1382"/>
      <c r="G22" s="1382"/>
      <c r="H22" s="1382"/>
      <c r="I22" s="342"/>
      <c r="J22" s="340"/>
      <c r="K22" s="341"/>
      <c r="L22" s="1310" t="str">
        <f>INDEX(PT_DIFFERENTIATION_NUM_IST_TE,MATCH(D19,PT_DIFFERENTIATION_IST_TE_ID,0))</f>
        <v>1.1.1.1</v>
      </c>
      <c r="M22" s="292" t="s">
        <v>408</v>
      </c>
      <c r="N22" s="280"/>
      <c r="O22" s="2416" t="str">
        <f>INDEX(PT_DIFFERENTIATION_IST_TE,MATCH(D19,PT_DIFFERENTIATION_IST_TE_ID,0))</f>
        <v>без дифференциации</v>
      </c>
      <c r="P22" s="2416"/>
      <c r="Q22" s="2416"/>
      <c r="R22" s="2416"/>
      <c r="S22" s="2416"/>
      <c r="T22" s="2416"/>
      <c r="U22" s="2416"/>
      <c r="V22" s="2416"/>
      <c r="W22" s="2416"/>
      <c r="X22" s="1273" t="s">
        <v>409</v>
      </c>
      <c r="Z22" s="496"/>
      <c r="AA22" s="496" t="str">
        <f>IF(M22="","",M22)</f>
        <v>Источник тепловой энергии  </v>
      </c>
      <c r="AB22" s="496"/>
      <c r="AC22" s="496"/>
    </row>
    <row customHeight="1" ht="94.5">
      <c r="A23" s="1380" t="s">
        <v>185</v>
      </c>
      <c r="B23" s="1380" t="s">
        <v>186</v>
      </c>
      <c r="C23" s="1380" t="s">
        <v>187</v>
      </c>
      <c r="D23" s="1380" t="s">
        <v>188</v>
      </c>
      <c r="E23" s="1380"/>
      <c r="F23" s="2417" t="str">
        <f>L22&amp;".1"</f>
        <v>1.1.1.1.1</v>
      </c>
      <c r="I23" s="2093">
        <v>1</v>
      </c>
      <c r="J23" s="1308"/>
      <c r="K23" s="344"/>
      <c r="L23" s="1310" t="str">
        <f>$F$23</f>
        <v>1.1.1.1.1</v>
      </c>
      <c r="M23" s="266" t="s">
        <v>411</v>
      </c>
      <c r="N23" s="280"/>
      <c r="O23" s="2418"/>
      <c r="P23" s="2418"/>
      <c r="Q23" s="2418"/>
      <c r="R23" s="2418"/>
      <c r="S23" s="2418"/>
      <c r="T23" s="2418"/>
      <c r="U23" s="2418"/>
      <c r="V23" s="2418"/>
      <c r="W23" s="2418"/>
      <c r="X23" s="1273" t="s">
        <v>412</v>
      </c>
      <c r="Z23" s="496"/>
      <c r="AA23" s="496" t="str">
        <f>IF(M23="","",M23)</f>
        <v>Схема подключения теплопотребляющей установки к коллектору источника тепловой энергии</v>
      </c>
      <c r="AB23" s="496"/>
      <c r="AC23" s="496"/>
    </row>
    <row customHeight="1" ht="84">
      <c r="A24" s="1380" t="s">
        <v>185</v>
      </c>
      <c r="B24" s="1380" t="s">
        <v>186</v>
      </c>
      <c r="C24" s="1380" t="s">
        <v>187</v>
      </c>
      <c r="D24" s="1380" t="s">
        <v>188</v>
      </c>
      <c r="E24" s="1380"/>
      <c r="F24" s="2417"/>
      <c r="G24" s="2064" t="str">
        <f>F23&amp;".1"</f>
        <v>1.1.1.1.1.1</v>
      </c>
      <c r="I24" s="2093"/>
      <c r="J24" s="2093">
        <v>1</v>
      </c>
      <c r="K24" s="345"/>
      <c r="L24" s="1310" t="str">
        <f>$G$24</f>
        <v>1.1.1.1.1.1</v>
      </c>
      <c r="M24" s="267" t="s">
        <v>414</v>
      </c>
      <c r="N24" s="280"/>
      <c r="O24" s="2419"/>
      <c r="P24" s="2420"/>
      <c r="Q24" s="2420"/>
      <c r="R24" s="2420"/>
      <c r="S24" s="2420"/>
      <c r="T24" s="2420"/>
      <c r="U24" s="2420"/>
      <c r="V24" s="2420"/>
      <c r="W24" s="2421"/>
      <c r="X24" s="1273" t="s">
        <v>415</v>
      </c>
      <c r="Z24" s="496"/>
      <c r="AA24" s="496" t="str">
        <f>IF(M24="","",M24)</f>
        <v>Группа потребителей</v>
      </c>
      <c r="AB24" s="496"/>
      <c r="AC24" s="496"/>
    </row>
    <row customHeight="1" ht="11.25">
      <c r="A25" s="1380" t="s">
        <v>185</v>
      </c>
      <c r="B25" s="1380" t="s">
        <v>186</v>
      </c>
      <c r="C25" s="1380" t="s">
        <v>187</v>
      </c>
      <c r="D25" s="1380" t="s">
        <v>188</v>
      </c>
      <c r="E25" s="1380"/>
      <c r="F25" s="2417"/>
      <c r="G25" s="2064"/>
      <c r="H25" s="2064" t="str">
        <f>G24&amp;".1"</f>
        <v>1.1.1.1.1.1.1</v>
      </c>
      <c r="I25" s="2093"/>
      <c r="J25" s="2093"/>
      <c r="K25" s="345">
        <v>1</v>
      </c>
      <c r="L25" s="1310" t="str">
        <f>$H$25</f>
        <v>1.1.1.1.1.1.1</v>
      </c>
      <c r="M25" s="1274"/>
      <c r="N25" s="280"/>
      <c r="O25" s="746"/>
      <c r="P25" s="312"/>
      <c r="Q25" s="746"/>
      <c r="R25" s="1272"/>
      <c r="S25" s="2425"/>
      <c r="T25" s="1963" t="s">
        <v>66</v>
      </c>
      <c r="U25" s="2425"/>
      <c r="V25" s="1963" t="s">
        <v>56</v>
      </c>
      <c r="W25" s="312"/>
      <c r="X25" s="2119" t="s">
        <v>417</v>
      </c>
      <c r="Y25" s="507">
        <f>STRCHECKDATE(O26:W26)</f>
      </c>
      <c r="Z25" s="496"/>
      <c r="AA25" s="496" t="str">
        <f>IF(M25="","",M25)</f>
        <v/>
      </c>
      <c r="AB25" s="496"/>
      <c r="AC25" s="496"/>
    </row>
    <row customHeight="1" ht="11.25">
      <c r="A26" s="1380" t="s">
        <v>185</v>
      </c>
      <c r="B26" s="1380" t="s">
        <v>186</v>
      </c>
      <c r="C26" s="1380" t="s">
        <v>187</v>
      </c>
      <c r="D26" s="1380" t="s">
        <v>188</v>
      </c>
      <c r="E26" s="1380"/>
      <c r="F26" s="2417"/>
      <c r="G26" s="2064"/>
      <c r="H26" s="2064"/>
      <c r="I26" s="2093"/>
      <c r="J26" s="2093"/>
      <c r="K26" s="345"/>
      <c r="L26" s="1311"/>
      <c r="M26" s="280"/>
      <c r="N26" s="280"/>
      <c r="O26" s="312"/>
      <c r="P26" s="312"/>
      <c r="Q26" s="312"/>
      <c r="R26" s="316" t="str">
        <f>S25&amp;"-"&amp;U25</f>
        <v>-</v>
      </c>
      <c r="S26" s="2095"/>
      <c r="T26" s="1963"/>
      <c r="U26" s="2095"/>
      <c r="V26" s="1963"/>
      <c r="W26" s="312"/>
      <c r="X26" s="2120"/>
      <c r="Z26" s="496"/>
      <c r="AA26" s="496" t="str">
        <f>IF(M26="","",M26)</f>
        <v/>
      </c>
      <c r="AB26" s="496"/>
      <c r="AC26" s="496"/>
    </row>
    <row customHeight="1" ht="15">
      <c r="A27" s="1380" t="s">
        <v>185</v>
      </c>
      <c r="B27" s="1380" t="s">
        <v>186</v>
      </c>
      <c r="C27" s="1380" t="s">
        <v>187</v>
      </c>
      <c r="D27" s="1380" t="s">
        <v>188</v>
      </c>
      <c r="E27" s="1380"/>
      <c r="F27" s="2417"/>
      <c r="G27" s="2064"/>
      <c r="I27" s="2093"/>
      <c r="J27" s="2093"/>
      <c r="K27" s="344"/>
      <c r="L27" s="1295"/>
      <c r="M27" s="269" t="s">
        <v>418</v>
      </c>
      <c r="N27" s="359"/>
      <c r="O27" s="359"/>
      <c r="P27" s="359"/>
      <c r="Q27" s="359"/>
      <c r="R27" s="359"/>
      <c r="S27" s="359"/>
      <c r="T27" s="359"/>
      <c r="U27" s="359"/>
      <c r="V27" s="359"/>
      <c r="W27" s="311"/>
      <c r="X27" s="2121"/>
      <c r="Z27" s="496"/>
      <c r="AA27" s="496" t="str">
        <f>IF(M27="","",M27)</f>
        <v>Добавить вид теплоносителя (параметры теплоносителя)</v>
      </c>
      <c r="AB27" s="496"/>
      <c r="AC27" s="496"/>
    </row>
    <row customHeight="1" ht="15">
      <c r="A28" s="1380" t="s">
        <v>185</v>
      </c>
      <c r="B28" s="1380" t="s">
        <v>186</v>
      </c>
      <c r="C28" s="1380" t="s">
        <v>187</v>
      </c>
      <c r="D28" s="1380" t="s">
        <v>188</v>
      </c>
      <c r="E28" s="1380"/>
      <c r="F28" s="2417"/>
      <c r="I28" s="2093"/>
      <c r="J28" s="1308"/>
      <c r="K28" s="344"/>
      <c r="L28" s="1295"/>
      <c r="M28" s="268" t="s">
        <v>419</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380" t="s">
        <v>185</v>
      </c>
      <c r="B29" s="1380" t="s">
        <v>186</v>
      </c>
      <c r="C29" s="1380" t="s">
        <v>187</v>
      </c>
      <c r="D29" s="1380" t="s">
        <v>188</v>
      </c>
      <c r="E29" s="1380"/>
      <c r="F29" s="1382"/>
      <c r="G29" s="1382"/>
      <c r="H29" s="533"/>
      <c r="I29" s="348"/>
      <c r="J29" s="367"/>
      <c r="K29" s="343"/>
      <c r="L29" s="1295"/>
      <c r="M29" s="356" t="s">
        <v>420</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380" t="s">
        <v>185</v>
      </c>
      <c r="B30" s="1380" t="s">
        <v>186</v>
      </c>
      <c r="C30" s="1380" t="s">
        <v>187</v>
      </c>
      <c r="D30" s="1380"/>
      <c r="E30" s="1380" t="s">
        <v>585</v>
      </c>
      <c r="F30" s="1382"/>
      <c r="G30" s="1382"/>
      <c r="H30" s="533"/>
      <c r="I30" s="348"/>
      <c r="J30" s="367"/>
      <c r="K30" s="343"/>
      <c r="L30" s="1296"/>
      <c r="M30" s="1285"/>
      <c r="N30" s="1286"/>
      <c r="O30" s="1286"/>
      <c r="P30" s="1286"/>
      <c r="Q30" s="1286"/>
      <c r="R30" s="1286"/>
      <c r="S30" s="1286"/>
      <c r="T30" s="1286"/>
      <c r="U30" s="1286"/>
      <c r="V30" s="1287"/>
      <c r="W30" s="1286"/>
      <c r="X30" s="1288"/>
      <c r="Z30" s="496"/>
      <c r="AA30" s="496" t="str">
        <f>IF(M30="","",M30)</f>
        <v/>
      </c>
      <c r="AB30" s="496"/>
      <c r="AC30" s="496"/>
    </row>
    <row customHeight="1" ht="14.25">
      <c r="A31" s="1380" t="s">
        <v>185</v>
      </c>
      <c r="B31" s="1380" t="s">
        <v>186</v>
      </c>
      <c r="C31" s="1380"/>
      <c r="D31" s="1380"/>
      <c r="E31" s="1380" t="s">
        <v>2141</v>
      </c>
      <c r="F31" s="1534"/>
      <c r="G31" s="1534"/>
      <c r="H31" s="533"/>
      <c r="I31" s="346"/>
      <c r="J31" s="367"/>
      <c r="K31" s="347"/>
      <c r="L31" s="1296"/>
      <c r="M31" s="1289"/>
      <c r="N31" s="1286"/>
      <c r="O31" s="1286"/>
      <c r="P31" s="1286"/>
      <c r="Q31" s="1286"/>
      <c r="R31" s="1286"/>
      <c r="S31" s="1286"/>
      <c r="T31" s="1286"/>
      <c r="U31" s="1286"/>
      <c r="V31" s="1287"/>
      <c r="W31" s="1286"/>
      <c r="X31" s="1288"/>
      <c r="Z31" s="496"/>
      <c r="AA31" s="496" t="str">
        <f>IF(M31="","",M31)</f>
        <v/>
      </c>
      <c r="AB31" s="496"/>
      <c r="AC31" s="496"/>
    </row>
    <row customHeight="1" ht="14.25">
      <c r="A32" s="1380" t="s">
        <v>2142</v>
      </c>
      <c r="B32" s="1380"/>
      <c r="C32" s="1380"/>
      <c r="D32" s="1380"/>
      <c r="E32" s="1380" t="s">
        <v>103</v>
      </c>
      <c r="F32" s="1534"/>
      <c r="G32" s="1534"/>
      <c r="H32" s="533"/>
      <c r="I32" s="348"/>
      <c r="J32" s="367"/>
      <c r="K32" s="343"/>
      <c r="L32" s="1296"/>
      <c r="M32" s="1290"/>
      <c r="N32" s="1286"/>
      <c r="O32" s="1286"/>
      <c r="P32" s="1286"/>
      <c r="Q32" s="1286"/>
      <c r="R32" s="1286"/>
      <c r="S32" s="1286"/>
      <c r="T32" s="1286"/>
      <c r="U32" s="1286"/>
      <c r="V32" s="1287"/>
      <c r="W32" s="1286"/>
      <c r="X32" s="1288"/>
      <c r="Z32" s="496"/>
      <c r="AA32" s="496" t="str">
        <f>IF(M32="","",M32)</f>
        <v/>
      </c>
      <c r="AB32" s="496"/>
      <c r="AC32" s="496"/>
    </row>
    <row s="2437" customFormat="1" customHeight="1" ht="11.25">
      <c r="A33" s="1380"/>
      <c r="B33" s="1380"/>
      <c r="C33" s="1380"/>
      <c r="D33" s="1380"/>
      <c r="E33" s="1380" t="s">
        <v>180</v>
      </c>
      <c r="F33" s="1535"/>
      <c r="G33" s="1536"/>
      <c r="H33" s="533"/>
      <c r="L33" s="1297"/>
      <c r="M33" s="1291"/>
      <c r="N33" s="1286"/>
      <c r="O33" s="1286"/>
      <c r="P33" s="1286"/>
      <c r="Q33" s="1286"/>
      <c r="R33" s="1286"/>
      <c r="S33" s="1286"/>
      <c r="T33" s="1286"/>
      <c r="U33" s="1286"/>
      <c r="V33" s="1287"/>
      <c r="W33" s="1286"/>
      <c r="X33" s="1288"/>
      <c r="Y33" s="374"/>
      <c r="Z33" s="374"/>
      <c r="AA33" s="374"/>
      <c r="AB33" s="374"/>
      <c r="AC33" s="374"/>
    </row>
    <row customHeight="1" ht="11.25">
      <c r="F34" s="1155"/>
      <c r="G34" s="1155"/>
      <c r="H34" s="533"/>
      <c r="I34" s="1150"/>
      <c r="J34" s="1150"/>
      <c r="K34" s="1150"/>
      <c r="Y34" s="1150"/>
      <c r="Z34" s="1150"/>
      <c r="AA34" s="1150"/>
      <c r="AB34" s="1150"/>
      <c r="AC34" s="1150"/>
    </row>
    <row customHeight="1" ht="27">
      <c r="H35" s="533"/>
      <c r="L35" s="1305" t="s">
        <v>717</v>
      </c>
      <c r="M35" s="2088" t="s">
        <v>2143</v>
      </c>
      <c r="N35" s="2088"/>
      <c r="O35" s="2088"/>
      <c r="P35" s="2088"/>
      <c r="Q35" s="2088"/>
      <c r="R35" s="2088"/>
      <c r="S35" s="2088"/>
      <c r="T35" s="2088"/>
      <c r="U35" s="2088"/>
      <c r="V35" s="2088"/>
      <c r="W35" s="2088"/>
      <c r="X35" s="2088"/>
    </row>
    <row customHeight="1" ht="104.25">
      <c r="H36" s="533"/>
      <c r="I36" s="1320"/>
      <c r="M36" s="2088" t="s">
        <v>2144</v>
      </c>
      <c r="N36" s="2088"/>
      <c r="O36" s="2088"/>
      <c r="P36" s="2088"/>
      <c r="Q36" s="2088"/>
      <c r="R36" s="2088"/>
      <c r="S36" s="2088"/>
      <c r="T36" s="2088"/>
      <c r="U36" s="2088"/>
      <c r="V36" s="2088"/>
      <c r="W36" s="2088"/>
      <c r="X36" s="2088"/>
    </row>
    <row customHeight="1" ht="14.25">
      <c r="H37" s="533"/>
    </row>
    <row customHeight="1" ht="14.25">
      <c r="H38" s="533"/>
    </row>
    <row customHeight="1" ht="14.25">
      <c r="H39" s="533"/>
    </row>
    <row customHeight="1" ht="14.25">
      <c r="H40" s="53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F38001-8844-1E71-A4FB-A1E154557B03}"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0" width="11.57421875" customWidth="1"/>
    <col min="2" max="2" style="1660" width="10.7109375" customWidth="1"/>
    <col min="3" max="3" style="1660" width="10.00390625" customWidth="1"/>
    <col min="4" max="4" style="1660" width="12.8515625" customWidth="1"/>
    <col min="5" max="5" style="1660" width="12.28125" customWidth="1"/>
    <col min="6" max="8" style="2216" width="12.28125" customWidth="1"/>
    <col min="9" max="9" style="2216" width="3.7109375" customWidth="1"/>
    <col min="10" max="11" style="332" width="3.7109375" customWidth="1"/>
    <col min="12" max="12" style="2229" width="12.7109375" customWidth="1"/>
    <col min="13" max="13" style="1660" width="32.00390625" customWidth="1"/>
    <col min="14" max="14" style="1660" width="1.7109375" customWidth="1"/>
    <col min="15" max="18" style="1660" width="24.7109375" customWidth="1"/>
    <col min="19" max="19" style="1660" width="11.7109375" customWidth="1"/>
    <col min="20" max="20" style="1660" width="3.7109375" customWidth="1"/>
    <col min="21" max="21" style="1660" width="11.7109375" customWidth="1"/>
    <col min="22" max="22" style="1660" width="8.57421875" customWidth="1"/>
    <col min="23" max="23" style="1660" width="4.7109375" customWidth="1"/>
    <col min="24" max="24" style="1660" width="115.7109375" customWidth="1"/>
    <col min="25" max="26" style="1667" width="10.57421875"/>
    <col min="27" max="27" style="1667" width="11.140625" customWidth="1"/>
    <col min="28" max="29" style="1667" width="10.57421875"/>
  </cols>
  <sheetData>
    <row customHeight="1" ht="14.25" hidden="1">
      <c r="R1" s="315"/>
      <c r="S1" s="315"/>
    </row>
    <row customHeight="1" ht="14.25" hidden="1">
      <c r="V2" s="315"/>
    </row>
    <row customHeight="1" ht="14.25" hidden="1"/>
    <row customHeight="1" ht="14.25">
      <c r="J4" s="368"/>
      <c r="K4" s="368"/>
      <c r="L4" s="1292"/>
      <c r="M4" s="353"/>
      <c r="N4" s="353"/>
      <c r="O4" s="505"/>
      <c r="P4" s="505"/>
      <c r="Q4" s="505"/>
      <c r="R4" s="505"/>
      <c r="S4" s="505"/>
      <c r="T4" s="505"/>
      <c r="U4" s="505"/>
      <c r="V4" s="505"/>
    </row>
    <row customHeight="1" ht="64.5">
      <c r="J5" s="368"/>
      <c r="K5" s="368"/>
      <c r="L5" s="2423" t="s">
        <v>2139</v>
      </c>
      <c r="M5" s="2423"/>
      <c r="N5" s="2423"/>
      <c r="O5" s="2423"/>
      <c r="P5" s="2423"/>
      <c r="Q5" s="2423"/>
      <c r="R5" s="2423"/>
      <c r="S5" s="2423"/>
      <c r="T5" s="2423"/>
      <c r="U5" s="2423"/>
      <c r="V5" s="1248"/>
    </row>
    <row customHeight="1" ht="14.25">
      <c r="J6" s="368"/>
      <c r="K6" s="368"/>
      <c r="L6" s="2424" t="str">
        <f>IF(org=0,"Не определено",org)</f>
        <v>ООО "ПРОМ ИМПУЛЬС"</v>
      </c>
      <c r="M6" s="2424"/>
      <c r="N6" s="2424"/>
      <c r="O6" s="2424"/>
      <c r="P6" s="2424"/>
      <c r="Q6" s="2424"/>
      <c r="R6" s="2424"/>
      <c r="S6" s="2424"/>
      <c r="T6" s="2424"/>
      <c r="U6" s="2424"/>
      <c r="V6" s="1248"/>
    </row>
    <row customHeight="1" ht="14.25">
      <c r="J7" s="368"/>
      <c r="K7" s="368"/>
      <c r="L7" s="1292"/>
      <c r="M7" s="353"/>
      <c r="N7" s="353"/>
      <c r="O7" s="308"/>
      <c r="P7" s="308"/>
      <c r="Q7" s="308"/>
      <c r="R7" s="308"/>
      <c r="S7" s="308"/>
      <c r="T7" s="308"/>
      <c r="U7" s="308"/>
      <c r="V7" s="308"/>
      <c r="W7" s="505"/>
    </row>
    <row s="1877" customFormat="1" customHeight="1" ht="45">
      <c r="F8" s="1254"/>
      <c r="G8" s="1254"/>
      <c r="H8" s="1254"/>
      <c r="L8" s="1293"/>
      <c r="M8" s="275" t="s">
        <v>38</v>
      </c>
      <c r="N8" s="284"/>
      <c r="O8" s="2082" t="str">
        <f>IF(TITLE_NAME_OR_PR_CHANGE="",IF(TITLE_NAME_OR_PR="","",TITLE_NAME_OR_PR),TITLE_NAME_OR_PR_CHANGE)</f>
        <v>Комитет по тарифам Санкт-Петербурга</v>
      </c>
      <c r="P8" s="2082"/>
      <c r="Q8" s="2082"/>
      <c r="R8" s="2082"/>
      <c r="S8" s="2082"/>
      <c r="T8" s="2082"/>
      <c r="U8" s="2082"/>
      <c r="V8" s="314"/>
      <c r="W8" s="314"/>
      <c r="X8" s="261"/>
      <c r="Y8" s="360"/>
      <c r="Z8" s="360"/>
      <c r="AA8" s="360"/>
      <c r="AB8" s="360"/>
      <c r="AC8" s="360"/>
    </row>
    <row s="1877" customFormat="1" customHeight="1" ht="22.5">
      <c r="F9" s="1254"/>
      <c r="G9" s="1254"/>
      <c r="H9" s="1254"/>
      <c r="L9" s="1293"/>
      <c r="M9" s="275" t="s">
        <v>427</v>
      </c>
      <c r="N9" s="284"/>
      <c r="O9" s="2082" t="str">
        <f>IF(TITLE_DATE_CHANGE_PERIOD="",IF(TITLE_DATE_PR="","",TITLE_DATE_PR),TITLE_DATE_CHANGE_PERIOD)</f>
        <v>45268.58207175926</v>
      </c>
      <c r="P9" s="2082"/>
      <c r="Q9" s="2082"/>
      <c r="R9" s="2082"/>
      <c r="S9" s="2082"/>
      <c r="T9" s="2082"/>
      <c r="U9" s="2082"/>
      <c r="V9" s="314"/>
      <c r="W9" s="314"/>
      <c r="X9" s="261"/>
      <c r="Y9" s="360"/>
      <c r="Z9" s="360"/>
      <c r="AA9" s="360"/>
      <c r="AB9" s="360"/>
      <c r="AC9" s="360"/>
    </row>
    <row s="1877" customFormat="1" customHeight="1" ht="22.5">
      <c r="F10" s="1254"/>
      <c r="G10" s="1254"/>
      <c r="H10" s="1254"/>
      <c r="L10" s="1256"/>
      <c r="M10" s="275" t="s">
        <v>428</v>
      </c>
      <c r="N10" s="284"/>
      <c r="O10" s="2082" t="str">
        <f>IF(TITLE_NUMBER_PR_CHANGE="",IF(TITLE_NUMBER_PR="","",TITLE_NUMBER_PR),TITLE_NUMBER_PR_CHANGE)</f>
        <v>237-р</v>
      </c>
      <c r="P10" s="2082"/>
      <c r="Q10" s="2082"/>
      <c r="R10" s="2082"/>
      <c r="S10" s="2082"/>
      <c r="T10" s="2082"/>
      <c r="U10" s="2082"/>
      <c r="V10" s="314"/>
      <c r="W10" s="314"/>
      <c r="X10" s="261"/>
      <c r="Y10" s="360"/>
      <c r="Z10" s="360"/>
      <c r="AA10" s="360"/>
      <c r="AB10" s="360"/>
      <c r="AC10" s="360"/>
    </row>
    <row s="1877" customFormat="1" customHeight="1" ht="22.5">
      <c r="F11" s="1254"/>
      <c r="G11" s="1254"/>
      <c r="H11" s="1254"/>
      <c r="L11" s="1256"/>
      <c r="M11" s="275" t="s">
        <v>40</v>
      </c>
      <c r="N11" s="284"/>
      <c r="O11" s="2082" t="str">
        <f>IF(TITLE_IST_PUB_CHANGE="",IF(TITLE_IST_PUB="","",TITLE_IST_PUB),TITLE_IST_PUB_CHANGE)</f>
        <v>https://www.gov.spb.ru/gov/otrasl/energ_kom/inform_/standarty-raskrytiya-informacii-komitetom/teplo/</v>
      </c>
      <c r="P11" s="2082"/>
      <c r="Q11" s="2082"/>
      <c r="R11" s="2082"/>
      <c r="S11" s="2082"/>
      <c r="T11" s="2082"/>
      <c r="U11" s="2082"/>
      <c r="V11" s="314"/>
      <c r="W11" s="314"/>
      <c r="X11" s="261"/>
      <c r="Y11" s="360"/>
      <c r="Z11" s="360"/>
      <c r="AA11" s="360"/>
      <c r="AB11" s="360"/>
      <c r="AC11" s="360"/>
    </row>
    <row s="1877" customFormat="1" customHeight="1" ht="11.25" hidden="1">
      <c r="F12" s="1254"/>
      <c r="G12" s="1254"/>
      <c r="H12" s="1254"/>
      <c r="L12" s="2422"/>
      <c r="M12" s="2422"/>
      <c r="N12" s="1304"/>
      <c r="O12" s="314"/>
      <c r="P12" s="314"/>
      <c r="Q12" s="314"/>
      <c r="R12" s="314"/>
      <c r="S12" s="314"/>
      <c r="T12" s="314"/>
      <c r="U12" s="314"/>
      <c r="V12" s="259" t="s">
        <v>431</v>
      </c>
      <c r="Y12" s="360"/>
      <c r="Z12" s="360"/>
      <c r="AA12" s="360"/>
      <c r="AB12" s="360"/>
      <c r="AC12" s="360"/>
    </row>
    <row customHeight="1" ht="14.25">
      <c r="J13" s="368"/>
      <c r="K13" s="368"/>
      <c r="L13" s="1292"/>
      <c r="M13" s="353"/>
      <c r="N13" s="1249"/>
      <c r="O13" s="2106"/>
      <c r="P13" s="2106"/>
      <c r="Q13" s="2106"/>
      <c r="R13" s="2106"/>
      <c r="S13" s="2106"/>
      <c r="T13" s="2106"/>
      <c r="U13" s="2106"/>
      <c r="V13" s="2106"/>
    </row>
    <row customHeight="1" ht="14.25">
      <c r="J14" s="368"/>
      <c r="K14" s="368"/>
      <c r="L14" s="1953" t="s">
        <v>305</v>
      </c>
      <c r="M14" s="1953"/>
      <c r="N14" s="1953"/>
      <c r="O14" s="1953"/>
      <c r="P14" s="1953"/>
      <c r="Q14" s="1953"/>
      <c r="R14" s="1953"/>
      <c r="S14" s="1953"/>
      <c r="T14" s="1953"/>
      <c r="U14" s="1953"/>
      <c r="V14" s="1953"/>
      <c r="W14" s="1953"/>
      <c r="X14" s="1953" t="s">
        <v>306</v>
      </c>
    </row>
    <row customHeight="1" ht="14.25">
      <c r="J15" s="368"/>
      <c r="K15" s="368"/>
      <c r="L15" s="2107" t="s">
        <v>87</v>
      </c>
      <c r="M15" s="2044" t="s">
        <v>432</v>
      </c>
      <c r="N15" s="281"/>
      <c r="O15" s="2108" t="s">
        <v>2140</v>
      </c>
      <c r="P15" s="2109"/>
      <c r="Q15" s="2109"/>
      <c r="R15" s="2109"/>
      <c r="S15" s="2109"/>
      <c r="T15" s="2109"/>
      <c r="U15" s="2110"/>
      <c r="V15" s="2111" t="s">
        <v>434</v>
      </c>
      <c r="W15" s="2114" t="s">
        <v>1059</v>
      </c>
      <c r="X15" s="1953"/>
    </row>
    <row customHeight="1" ht="33.75">
      <c r="J16" s="368"/>
      <c r="K16" s="368"/>
      <c r="L16" s="2107"/>
      <c r="M16" s="2044"/>
      <c r="N16" s="1026"/>
      <c r="O16" s="2117" t="s">
        <v>437</v>
      </c>
      <c r="P16" s="2117" t="s">
        <v>438</v>
      </c>
      <c r="Q16" s="2100" t="s">
        <v>439</v>
      </c>
      <c r="R16" s="2102"/>
      <c r="S16" s="2100" t="s">
        <v>452</v>
      </c>
      <c r="T16" s="2101"/>
      <c r="U16" s="2102"/>
      <c r="V16" s="2112"/>
      <c r="W16" s="2115"/>
      <c r="X16" s="1953"/>
    </row>
    <row customHeight="1" ht="33.75">
      <c r="A17" s="1275" t="s">
        <v>133</v>
      </c>
      <c r="B17" s="1275" t="s">
        <v>134</v>
      </c>
      <c r="C17" s="1275" t="s">
        <v>135</v>
      </c>
      <c r="D17" s="1275" t="s">
        <v>136</v>
      </c>
      <c r="E17" s="1275"/>
      <c r="J17" s="368"/>
      <c r="K17" s="368"/>
      <c r="L17" s="2107"/>
      <c r="M17" s="2044"/>
      <c r="N17" s="282"/>
      <c r="O17" s="2118"/>
      <c r="P17" s="2118"/>
      <c r="Q17" s="1224" t="s">
        <v>448</v>
      </c>
      <c r="R17" s="1224" t="s">
        <v>449</v>
      </c>
      <c r="S17" s="1309" t="s">
        <v>450</v>
      </c>
      <c r="T17" s="2103" t="s">
        <v>451</v>
      </c>
      <c r="U17" s="2104"/>
      <c r="V17" s="2113"/>
      <c r="W17" s="2116"/>
      <c r="X17" s="1953"/>
    </row>
    <row s="1666" customFormat="1" customHeight="1" ht="11.25">
      <c r="A18" s="1275"/>
      <c r="B18" s="1275"/>
      <c r="C18" s="1275"/>
      <c r="D18" s="1275"/>
      <c r="E18" s="1275"/>
      <c r="F18" s="1303"/>
      <c r="G18" s="1303"/>
      <c r="H18" s="1303"/>
      <c r="I18" s="1251"/>
      <c r="J18" s="1252"/>
      <c r="K18" s="1267">
        <v>1</v>
      </c>
      <c r="L18" s="1294" t="s">
        <v>108</v>
      </c>
      <c r="M18" s="1268" t="s">
        <v>109</v>
      </c>
      <c r="N18" s="1250" t="str">
        <f>OFFSET(N18,0,-1)</f>
        <v>2</v>
      </c>
      <c r="O18" s="1306">
        <f>OFFSET(O18,0,-1)+1</f>
        <v>3</v>
      </c>
      <c r="P18" s="1306"/>
      <c r="Q18" s="1306">
        <f>OFFSET(Q18,0,-1)+1</f>
        <v>1</v>
      </c>
      <c r="R18" s="1306">
        <f>OFFSET(R18,0,-1)+1</f>
        <v>2</v>
      </c>
      <c r="S18" s="1306">
        <f>OFFSET(S18,0,-1)+1</f>
        <v>3</v>
      </c>
      <c r="T18" s="2105">
        <f>OFFSET(T18,0,-1)+1</f>
        <v>4</v>
      </c>
      <c r="U18" s="2105"/>
      <c r="V18" s="1306">
        <f>OFFSET(V18,0,-2)+1</f>
        <v>5</v>
      </c>
      <c r="W18" s="1250">
        <f>OFFSET(W18,0,-1)</f>
        <v>5</v>
      </c>
      <c r="X18" s="1306">
        <f>OFFSET(X18,0,-1)+1</f>
        <v>6</v>
      </c>
      <c r="Y18" s="507"/>
      <c r="Z18" s="507"/>
      <c r="AA18" s="507"/>
      <c r="AB18" s="507"/>
      <c r="AC18" s="507"/>
    </row>
    <row customHeight="1" ht="21">
      <c r="A19" s="1283" t="s">
        <v>2145</v>
      </c>
      <c r="B19" s="1283" t="s">
        <v>2146</v>
      </c>
      <c r="C19" s="1283" t="s">
        <v>2147</v>
      </c>
      <c r="D19" s="1283" t="s">
        <v>2148</v>
      </c>
      <c r="E19" s="1283"/>
      <c r="F19" s="683"/>
      <c r="G19" s="683"/>
      <c r="H19" s="683"/>
      <c r="I19" s="349"/>
      <c r="J19" s="348"/>
      <c r="K19" s="343"/>
      <c r="L19" s="1310">
        <f>INDEX(PT_DIFFERENTIATION_NUM_NTAR,MATCH(A19,PT_DIFFERENTIATION_NTAR_ID,0))</f>
      </c>
      <c r="M19" s="278" t="s">
        <v>122</v>
      </c>
      <c r="N19" s="280"/>
      <c r="O19" s="2416">
        <f>INDEX(PT_DIFFERENTIATION_NTAR,MATCH(A19,PT_DIFFERENTIATION_NTAR_ID,0))</f>
      </c>
      <c r="P19" s="2416"/>
      <c r="Q19" s="2416"/>
      <c r="R19" s="2416"/>
      <c r="S19" s="2416"/>
      <c r="T19" s="2416"/>
      <c r="U19" s="2416"/>
      <c r="V19" s="2416"/>
      <c r="W19" s="2416"/>
      <c r="X19" s="1273" t="s">
        <v>403</v>
      </c>
      <c r="Z19" s="496"/>
      <c r="AA19" s="496" t="str">
        <f>IF(M19="","",M19)</f>
        <v>Наименование тарифа</v>
      </c>
      <c r="AB19" s="496"/>
      <c r="AC19" s="496"/>
    </row>
    <row customHeight="1" ht="21">
      <c r="A20" s="1283" t="s">
        <v>2145</v>
      </c>
      <c r="B20" s="1283" t="s">
        <v>2146</v>
      </c>
      <c r="C20" s="1283" t="s">
        <v>2147</v>
      </c>
      <c r="D20" s="1283" t="s">
        <v>2148</v>
      </c>
      <c r="E20" s="1283"/>
      <c r="F20" s="683"/>
      <c r="G20" s="683"/>
      <c r="H20" s="683"/>
      <c r="I20" s="1307"/>
      <c r="J20" s="340"/>
      <c r="K20" s="341"/>
      <c r="L20" s="1310">
        <f>INDEX(PT_DIFFERENTIATION_NUM_TER,MATCH(B19,PT_DIFFERENTIATION_TER_ID,0))</f>
      </c>
      <c r="M20" s="290" t="s">
        <v>404</v>
      </c>
      <c r="N20" s="280"/>
      <c r="O20" s="2416">
        <f>INDEX(PT_DIFFERENTIATION_TER,MATCH(B19,PT_DIFFERENTIATION_TER_ID,0))</f>
      </c>
      <c r="P20" s="2416"/>
      <c r="Q20" s="2416"/>
      <c r="R20" s="2416"/>
      <c r="S20" s="2416"/>
      <c r="T20" s="2416"/>
      <c r="U20" s="2416"/>
      <c r="V20" s="2416"/>
      <c r="W20" s="2416"/>
      <c r="X20" s="1273" t="s">
        <v>405</v>
      </c>
      <c r="Z20" s="496"/>
      <c r="AA20" s="496" t="str">
        <f>IF(M20="","",M20)</f>
        <v>Территория действия тарифа</v>
      </c>
      <c r="AB20" s="496"/>
      <c r="AC20" s="496"/>
    </row>
    <row customHeight="1" ht="22.5">
      <c r="A21" s="1283" t="s">
        <v>2145</v>
      </c>
      <c r="B21" s="1283" t="s">
        <v>2146</v>
      </c>
      <c r="C21" s="1283" t="s">
        <v>2147</v>
      </c>
      <c r="D21" s="1283" t="s">
        <v>2148</v>
      </c>
      <c r="E21" s="1283"/>
      <c r="F21" s="683"/>
      <c r="G21" s="683"/>
      <c r="H21" s="683"/>
      <c r="I21" s="342"/>
      <c r="J21" s="340"/>
      <c r="K21" s="341"/>
      <c r="L21" s="1310">
        <f>INDEX(PT_DIFFERENTIATION_NUM_CS,MATCH(C19,PT_DIFFERENTIATION_CS_ID,0))</f>
      </c>
      <c r="M21" s="291" t="s">
        <v>406</v>
      </c>
      <c r="N21" s="280"/>
      <c r="O21" s="2416">
        <f>INDEX(PT_DIFFERENTIATION_CS,MATCH(C19,PT_DIFFERENTIATION_CS_ID,0))</f>
      </c>
      <c r="P21" s="2416"/>
      <c r="Q21" s="2416"/>
      <c r="R21" s="2416"/>
      <c r="S21" s="2416"/>
      <c r="T21" s="2416"/>
      <c r="U21" s="2416"/>
      <c r="V21" s="2416"/>
      <c r="W21" s="2416"/>
      <c r="X21" s="1273" t="s">
        <v>407</v>
      </c>
      <c r="Z21" s="496"/>
      <c r="AA21" s="496" t="str">
        <f>IF(M21="","",M21)</f>
        <v>Наименование системы теплоснабжения </v>
      </c>
      <c r="AB21" s="496"/>
      <c r="AC21" s="496"/>
    </row>
    <row customHeight="1" ht="21">
      <c r="A22" s="1283" t="s">
        <v>2145</v>
      </c>
      <c r="B22" s="1283" t="s">
        <v>2146</v>
      </c>
      <c r="C22" s="1283" t="s">
        <v>2147</v>
      </c>
      <c r="D22" s="1283" t="s">
        <v>2148</v>
      </c>
      <c r="E22" s="1283"/>
      <c r="F22" s="683"/>
      <c r="G22" s="683"/>
      <c r="H22" s="683"/>
      <c r="I22" s="342"/>
      <c r="J22" s="340"/>
      <c r="K22" s="341"/>
      <c r="L22" s="1310">
        <f>INDEX(PT_DIFFERENTIATION_NUM_IST_TE,MATCH(D19,PT_DIFFERENTIATION_IST_TE_ID,0))</f>
      </c>
      <c r="M22" s="292" t="s">
        <v>408</v>
      </c>
      <c r="N22" s="280"/>
      <c r="O22" s="2416">
        <f>INDEX(PT_DIFFERENTIATION_IST_TE,MATCH(D19,PT_DIFFERENTIATION_IST_TE_ID,0))</f>
      </c>
      <c r="P22" s="2416"/>
      <c r="Q22" s="2416"/>
      <c r="R22" s="2416"/>
      <c r="S22" s="2416"/>
      <c r="T22" s="2416"/>
      <c r="U22" s="2416"/>
      <c r="V22" s="2416"/>
      <c r="W22" s="2416"/>
      <c r="X22" s="1273" t="s">
        <v>409</v>
      </c>
      <c r="Z22" s="496"/>
      <c r="AA22" s="496" t="str">
        <f>IF(M22="","",M22)</f>
        <v>Источник тепловой энергии  </v>
      </c>
      <c r="AB22" s="496"/>
      <c r="AC22" s="496"/>
    </row>
    <row customHeight="1" ht="94.5">
      <c r="A23" s="1283" t="s">
        <v>2145</v>
      </c>
      <c r="B23" s="1283" t="s">
        <v>2146</v>
      </c>
      <c r="C23" s="1283" t="s">
        <v>2147</v>
      </c>
      <c r="D23" s="1283" t="s">
        <v>2148</v>
      </c>
      <c r="E23" s="1283"/>
      <c r="F23" s="1951">
        <f>L22&amp;".1"</f>
      </c>
      <c r="I23" s="2093">
        <v>1</v>
      </c>
      <c r="J23" s="1308"/>
      <c r="K23" s="344"/>
      <c r="L23" s="1310">
        <f>$F$23</f>
      </c>
      <c r="M23" s="266" t="s">
        <v>411</v>
      </c>
      <c r="N23" s="280"/>
      <c r="O23" s="2418"/>
      <c r="P23" s="2418"/>
      <c r="Q23" s="2418"/>
      <c r="R23" s="2418"/>
      <c r="S23" s="2418"/>
      <c r="T23" s="2418"/>
      <c r="U23" s="2418"/>
      <c r="V23" s="2418"/>
      <c r="W23" s="2418"/>
      <c r="X23" s="1273" t="s">
        <v>412</v>
      </c>
      <c r="Z23" s="496"/>
      <c r="AA23" s="496" t="str">
        <f>IF(M23="","",M23)</f>
        <v>Схема подключения теплопотребляющей установки к коллектору источника тепловой энергии</v>
      </c>
      <c r="AB23" s="496"/>
      <c r="AC23" s="496"/>
    </row>
    <row customHeight="1" ht="84">
      <c r="A24" s="1283" t="s">
        <v>2145</v>
      </c>
      <c r="B24" s="1283" t="s">
        <v>2146</v>
      </c>
      <c r="C24" s="1283" t="s">
        <v>2147</v>
      </c>
      <c r="D24" s="1283" t="s">
        <v>2148</v>
      </c>
      <c r="E24" s="1283"/>
      <c r="F24" s="1951"/>
      <c r="G24" s="1935">
        <f>F23&amp;".1"</f>
      </c>
      <c r="I24" s="2093"/>
      <c r="J24" s="2093">
        <v>1</v>
      </c>
      <c r="K24" s="345"/>
      <c r="L24" s="1310">
        <f>$G$24</f>
      </c>
      <c r="M24" s="267" t="s">
        <v>414</v>
      </c>
      <c r="N24" s="280"/>
      <c r="O24" s="2419"/>
      <c r="P24" s="2420"/>
      <c r="Q24" s="2420"/>
      <c r="R24" s="2420"/>
      <c r="S24" s="2420"/>
      <c r="T24" s="2420"/>
      <c r="U24" s="2420"/>
      <c r="V24" s="2420"/>
      <c r="W24" s="2421"/>
      <c r="X24" s="1273" t="s">
        <v>415</v>
      </c>
      <c r="Z24" s="496"/>
      <c r="AA24" s="496" t="str">
        <f>IF(M24="","",M24)</f>
        <v>Группа потребителей</v>
      </c>
      <c r="AB24" s="496"/>
      <c r="AC24" s="496"/>
    </row>
    <row customHeight="1" ht="11.25">
      <c r="A25" s="1283" t="s">
        <v>2145</v>
      </c>
      <c r="B25" s="1283" t="s">
        <v>2146</v>
      </c>
      <c r="C25" s="1283" t="s">
        <v>2147</v>
      </c>
      <c r="D25" s="1283" t="s">
        <v>2148</v>
      </c>
      <c r="E25" s="1283"/>
      <c r="F25" s="1951"/>
      <c r="G25" s="1935"/>
      <c r="H25" s="1935">
        <f>G24&amp;".1"</f>
      </c>
      <c r="I25" s="2093"/>
      <c r="J25" s="2093"/>
      <c r="K25" s="345">
        <v>1</v>
      </c>
      <c r="L25" s="1310">
        <f>$H$25</f>
      </c>
      <c r="M25" s="1274"/>
      <c r="N25" s="280"/>
      <c r="O25" s="746"/>
      <c r="P25" s="312"/>
      <c r="Q25" s="746"/>
      <c r="R25" s="1272"/>
      <c r="S25" s="2425"/>
      <c r="T25" s="1963" t="s">
        <v>66</v>
      </c>
      <c r="U25" s="2425"/>
      <c r="V25" s="1963" t="s">
        <v>56</v>
      </c>
      <c r="W25" s="312"/>
      <c r="X25" s="2119" t="s">
        <v>417</v>
      </c>
      <c r="Y25" s="507">
        <f>STRCHECKDATE(O26:W26)</f>
      </c>
      <c r="Z25" s="496"/>
      <c r="AA25" s="496" t="str">
        <f>IF(M25="","",M25)</f>
        <v/>
      </c>
      <c r="AB25" s="496"/>
      <c r="AC25" s="496"/>
    </row>
    <row customHeight="1" ht="11.25">
      <c r="A26" s="1283" t="s">
        <v>2145</v>
      </c>
      <c r="B26" s="1283" t="s">
        <v>2146</v>
      </c>
      <c r="C26" s="1283" t="s">
        <v>2147</v>
      </c>
      <c r="D26" s="1283" t="s">
        <v>2148</v>
      </c>
      <c r="E26" s="1283"/>
      <c r="F26" s="1951"/>
      <c r="G26" s="1935"/>
      <c r="H26" s="1935"/>
      <c r="I26" s="2093"/>
      <c r="J26" s="2093"/>
      <c r="K26" s="345"/>
      <c r="L26" s="1311"/>
      <c r="M26" s="280"/>
      <c r="N26" s="280"/>
      <c r="O26" s="312"/>
      <c r="P26" s="312"/>
      <c r="Q26" s="312"/>
      <c r="R26" s="316" t="str">
        <f>S25&amp;"-"&amp;U25</f>
        <v>-</v>
      </c>
      <c r="S26" s="2095"/>
      <c r="T26" s="1963"/>
      <c r="U26" s="2095"/>
      <c r="V26" s="1963"/>
      <c r="W26" s="312"/>
      <c r="X26" s="2120"/>
      <c r="Z26" s="496"/>
      <c r="AA26" s="496" t="str">
        <f>IF(M26="","",M26)</f>
        <v/>
      </c>
      <c r="AB26" s="496"/>
      <c r="AC26" s="496"/>
    </row>
    <row customHeight="1" ht="15">
      <c r="A27" s="1283" t="s">
        <v>2145</v>
      </c>
      <c r="B27" s="1283" t="s">
        <v>2146</v>
      </c>
      <c r="C27" s="1283" t="s">
        <v>2147</v>
      </c>
      <c r="D27" s="1283" t="s">
        <v>2148</v>
      </c>
      <c r="E27" s="1283"/>
      <c r="F27" s="1951"/>
      <c r="G27" s="1935"/>
      <c r="I27" s="2093"/>
      <c r="J27" s="2093"/>
      <c r="K27" s="344"/>
      <c r="L27" s="1295"/>
      <c r="M27" s="269" t="s">
        <v>418</v>
      </c>
      <c r="N27" s="359"/>
      <c r="O27" s="359"/>
      <c r="P27" s="359"/>
      <c r="Q27" s="359"/>
      <c r="R27" s="359"/>
      <c r="S27" s="359"/>
      <c r="T27" s="359"/>
      <c r="U27" s="359"/>
      <c r="V27" s="359"/>
      <c r="W27" s="311"/>
      <c r="X27" s="2121"/>
      <c r="Z27" s="496"/>
      <c r="AA27" s="496" t="str">
        <f>IF(M27="","",M27)</f>
        <v>Добавить вид теплоносителя (параметры теплоносителя)</v>
      </c>
      <c r="AB27" s="496"/>
      <c r="AC27" s="496"/>
    </row>
    <row customHeight="1" ht="15">
      <c r="A28" s="1283" t="s">
        <v>2145</v>
      </c>
      <c r="B28" s="1283" t="s">
        <v>2146</v>
      </c>
      <c r="C28" s="1283" t="s">
        <v>2147</v>
      </c>
      <c r="D28" s="1283" t="s">
        <v>2148</v>
      </c>
      <c r="E28" s="1283"/>
      <c r="F28" s="1951"/>
      <c r="I28" s="2093"/>
      <c r="J28" s="1308"/>
      <c r="K28" s="344"/>
      <c r="L28" s="1295"/>
      <c r="M28" s="268" t="s">
        <v>419</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283" t="s">
        <v>2145</v>
      </c>
      <c r="B29" s="1283" t="s">
        <v>2146</v>
      </c>
      <c r="C29" s="1283" t="s">
        <v>2147</v>
      </c>
      <c r="D29" s="1283" t="s">
        <v>2148</v>
      </c>
      <c r="E29" s="1283"/>
      <c r="F29" s="683"/>
      <c r="G29" s="683"/>
      <c r="H29" s="505"/>
      <c r="I29" s="348"/>
      <c r="J29" s="367"/>
      <c r="K29" s="343"/>
      <c r="L29" s="1295"/>
      <c r="M29" s="356" t="s">
        <v>420</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283" t="s">
        <v>2145</v>
      </c>
      <c r="B30" s="1283" t="s">
        <v>2146</v>
      </c>
      <c r="C30" s="1283" t="s">
        <v>2147</v>
      </c>
      <c r="D30" s="1283"/>
      <c r="E30" s="1283" t="s">
        <v>585</v>
      </c>
      <c r="F30" s="683"/>
      <c r="G30" s="683"/>
      <c r="H30" s="505"/>
      <c r="I30" s="348"/>
      <c r="J30" s="367"/>
      <c r="K30" s="343"/>
      <c r="L30" s="1296"/>
      <c r="M30" s="1285"/>
      <c r="N30" s="1286"/>
      <c r="O30" s="1286"/>
      <c r="P30" s="1286"/>
      <c r="Q30" s="1286"/>
      <c r="R30" s="1286"/>
      <c r="S30" s="1286"/>
      <c r="T30" s="1286"/>
      <c r="U30" s="1286"/>
      <c r="V30" s="1287"/>
      <c r="W30" s="1286"/>
      <c r="X30" s="1288"/>
      <c r="Z30" s="496"/>
      <c r="AA30" s="496" t="str">
        <f>IF(M30="","",M30)</f>
        <v/>
      </c>
      <c r="AB30" s="496"/>
      <c r="AC30" s="496"/>
    </row>
    <row customHeight="1" ht="14.25">
      <c r="A31" s="1283" t="s">
        <v>2145</v>
      </c>
      <c r="B31" s="1283" t="s">
        <v>2146</v>
      </c>
      <c r="C31" s="1283"/>
      <c r="D31" s="1283"/>
      <c r="E31" s="1283" t="s">
        <v>2141</v>
      </c>
      <c r="F31" s="1270"/>
      <c r="G31" s="1270"/>
      <c r="H31" s="505"/>
      <c r="I31" s="346"/>
      <c r="J31" s="367"/>
      <c r="K31" s="347"/>
      <c r="L31" s="1296"/>
      <c r="M31" s="1289"/>
      <c r="N31" s="1286"/>
      <c r="O31" s="1286"/>
      <c r="P31" s="1286"/>
      <c r="Q31" s="1286"/>
      <c r="R31" s="1286"/>
      <c r="S31" s="1286"/>
      <c r="T31" s="1286"/>
      <c r="U31" s="1286"/>
      <c r="V31" s="1287"/>
      <c r="W31" s="1286"/>
      <c r="X31" s="1288"/>
      <c r="Z31" s="496"/>
      <c r="AA31" s="496" t="str">
        <f>IF(M31="","",M31)</f>
        <v/>
      </c>
      <c r="AB31" s="496"/>
      <c r="AC31" s="496"/>
    </row>
    <row customHeight="1" ht="14.25">
      <c r="A32" s="1283" t="s">
        <v>2149</v>
      </c>
      <c r="B32" s="1283"/>
      <c r="C32" s="1283"/>
      <c r="D32" s="1283"/>
      <c r="E32" s="1283" t="s">
        <v>103</v>
      </c>
      <c r="F32" s="1270"/>
      <c r="G32" s="1270"/>
      <c r="H32" s="505"/>
      <c r="I32" s="348"/>
      <c r="J32" s="367"/>
      <c r="K32" s="343"/>
      <c r="L32" s="1296"/>
      <c r="M32" s="1290"/>
      <c r="N32" s="1286"/>
      <c r="O32" s="1286"/>
      <c r="P32" s="1286"/>
      <c r="Q32" s="1286"/>
      <c r="R32" s="1286"/>
      <c r="S32" s="1286"/>
      <c r="T32" s="1286"/>
      <c r="U32" s="1286"/>
      <c r="V32" s="1287"/>
      <c r="W32" s="1286"/>
      <c r="X32" s="1288"/>
      <c r="Z32" s="496"/>
      <c r="AA32" s="496" t="str">
        <f>IF(M32="","",M32)</f>
        <v/>
      </c>
      <c r="AB32" s="496"/>
      <c r="AC32" s="496"/>
    </row>
    <row s="2437" customFormat="1" customHeight="1" ht="11.25">
      <c r="A33" s="1283"/>
      <c r="B33" s="1283"/>
      <c r="C33" s="1283"/>
      <c r="D33" s="1283"/>
      <c r="E33" s="1283" t="s">
        <v>180</v>
      </c>
      <c r="F33" s="1284"/>
      <c r="G33" s="1271"/>
      <c r="H33" s="505"/>
      <c r="L33" s="1297"/>
      <c r="M33" s="1291"/>
      <c r="N33" s="1286"/>
      <c r="O33" s="1286"/>
      <c r="P33" s="1286"/>
      <c r="Q33" s="1286"/>
      <c r="R33" s="1286"/>
      <c r="S33" s="1286"/>
      <c r="T33" s="1286"/>
      <c r="U33" s="1286"/>
      <c r="V33" s="1287"/>
      <c r="W33" s="1286"/>
      <c r="X33" s="1288"/>
      <c r="Y33" s="374"/>
      <c r="Z33" s="374"/>
      <c r="AA33" s="374"/>
      <c r="AB33" s="374"/>
      <c r="AC33" s="374"/>
    </row>
    <row customHeight="1" ht="11.25">
      <c r="F34" s="1150"/>
      <c r="G34" s="1150"/>
      <c r="H34" s="505"/>
      <c r="I34" s="1150"/>
      <c r="J34" s="1150"/>
      <c r="K34" s="1150"/>
      <c r="Y34" s="1150"/>
      <c r="Z34" s="1150"/>
      <c r="AA34" s="1150"/>
      <c r="AB34" s="1150"/>
      <c r="AC34" s="1150"/>
    </row>
    <row customHeight="1" ht="27">
      <c r="H35" s="505"/>
      <c r="L35" s="1305" t="s">
        <v>717</v>
      </c>
      <c r="M35" s="2088" t="s">
        <v>2143</v>
      </c>
      <c r="N35" s="2088"/>
      <c r="O35" s="2088"/>
      <c r="P35" s="2088"/>
      <c r="Q35" s="2088"/>
      <c r="R35" s="2088"/>
      <c r="S35" s="2088"/>
      <c r="T35" s="2088"/>
      <c r="U35" s="2088"/>
      <c r="V35" s="2088"/>
      <c r="W35" s="2088"/>
      <c r="X35" s="2088"/>
    </row>
    <row customHeight="1" ht="104.25">
      <c r="F36" s="1320"/>
      <c r="G36" s="1320"/>
      <c r="H36" s="505"/>
      <c r="I36" s="1320"/>
      <c r="M36" s="2088" t="s">
        <v>2144</v>
      </c>
      <c r="N36" s="2088"/>
      <c r="O36" s="2088"/>
      <c r="P36" s="2088"/>
      <c r="Q36" s="2088"/>
      <c r="R36" s="2088"/>
      <c r="S36" s="2088"/>
      <c r="T36" s="2088"/>
      <c r="U36" s="2088"/>
      <c r="V36" s="2088"/>
      <c r="W36" s="2088"/>
      <c r="X36" s="2088"/>
    </row>
    <row customHeight="1" ht="14.25">
      <c r="H37" s="505"/>
    </row>
    <row customHeight="1" ht="14.25">
      <c r="H38" s="505"/>
    </row>
    <row customHeight="1" ht="14.25">
      <c r="H39" s="505"/>
    </row>
    <row customHeight="1" ht="14.25">
      <c r="H40" s="50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E9DD1B-D8DC-8986-FF57-EDDFF813962D}"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0" width="10.57421875"/>
    <col min="2" max="2" style="1660" width="11.00390625" customWidth="1"/>
    <col min="3" max="3" style="1660" width="10.57421875"/>
    <col min="4" max="4" style="1660" width="11.8515625" customWidth="1"/>
    <col min="5" max="5" style="1660" width="12.28125" customWidth="1"/>
    <col min="6" max="8" style="2216" width="12.28125" customWidth="1"/>
    <col min="9" max="9" style="2216" width="3.7109375" customWidth="1"/>
    <col min="10" max="11" style="332" width="3.7109375" customWidth="1"/>
    <col min="12" max="12" style="2229" width="12.7109375" customWidth="1"/>
    <col min="13" max="13" style="1660" width="32.00390625" customWidth="1"/>
    <col min="14" max="14" style="1660" width="1.7109375" customWidth="1"/>
    <col min="15" max="18" style="1660" width="24.7109375" customWidth="1"/>
    <col min="19" max="19" style="1660" width="11.7109375" customWidth="1"/>
    <col min="20" max="20" style="1660" width="3.7109375" customWidth="1"/>
    <col min="21" max="21" style="1660" width="11.7109375" customWidth="1"/>
    <col min="22" max="22" style="1660" width="8.57421875" customWidth="1"/>
    <col min="23" max="23" style="1660" width="4.7109375" customWidth="1"/>
    <col min="24" max="24" style="1660" width="115.7109375" customWidth="1"/>
    <col min="25" max="26" style="1667" width="10.57421875"/>
    <col min="27" max="27" style="1667" width="11.140625" customWidth="1"/>
    <col min="28" max="29" style="1667" width="10.57421875"/>
  </cols>
  <sheetData>
    <row customHeight="1" ht="14.25" hidden="1">
      <c r="R1" s="315"/>
      <c r="S1" s="315"/>
    </row>
    <row customHeight="1" ht="14.25" hidden="1">
      <c r="V2" s="315"/>
    </row>
    <row customHeight="1" ht="14.25" hidden="1"/>
    <row customHeight="1" ht="14.25">
      <c r="J4" s="368"/>
      <c r="K4" s="368"/>
      <c r="L4" s="1292"/>
      <c r="M4" s="353"/>
      <c r="N4" s="353"/>
      <c r="O4" s="505"/>
      <c r="P4" s="505"/>
      <c r="Q4" s="505"/>
      <c r="R4" s="505"/>
      <c r="S4" s="505"/>
      <c r="T4" s="505"/>
      <c r="U4" s="505"/>
      <c r="V4" s="505"/>
    </row>
    <row customHeight="1" ht="64.5">
      <c r="J5" s="368"/>
      <c r="K5" s="368"/>
      <c r="L5" s="2423" t="s">
        <v>2139</v>
      </c>
      <c r="M5" s="2423"/>
      <c r="N5" s="2423"/>
      <c r="O5" s="2423"/>
      <c r="P5" s="2423"/>
      <c r="Q5" s="2423"/>
      <c r="R5" s="2423"/>
      <c r="S5" s="2423"/>
      <c r="T5" s="2423"/>
      <c r="U5" s="2423"/>
      <c r="V5" s="1248"/>
    </row>
    <row customHeight="1" ht="14.25">
      <c r="J6" s="368"/>
      <c r="K6" s="368"/>
      <c r="L6" s="2424" t="str">
        <f>IF(org=0,"Не определено",org)</f>
        <v>ООО "ПРОМ ИМПУЛЬС"</v>
      </c>
      <c r="M6" s="2424"/>
      <c r="N6" s="2424"/>
      <c r="O6" s="2424"/>
      <c r="P6" s="2424"/>
      <c r="Q6" s="2424"/>
      <c r="R6" s="2424"/>
      <c r="S6" s="2424"/>
      <c r="T6" s="2424"/>
      <c r="U6" s="2424"/>
      <c r="V6" s="1248"/>
    </row>
    <row customHeight="1" ht="14.25">
      <c r="J7" s="368"/>
      <c r="K7" s="368"/>
      <c r="L7" s="1292"/>
      <c r="M7" s="353"/>
      <c r="N7" s="353"/>
      <c r="O7" s="308"/>
      <c r="P7" s="308"/>
      <c r="Q7" s="308"/>
      <c r="R7" s="308"/>
      <c r="S7" s="308"/>
      <c r="T7" s="308"/>
      <c r="U7" s="308"/>
      <c r="V7" s="308"/>
      <c r="W7" s="505"/>
    </row>
    <row s="1877" customFormat="1" customHeight="1" ht="45">
      <c r="F8" s="1254"/>
      <c r="G8" s="1254"/>
      <c r="H8" s="1254"/>
      <c r="L8" s="1293"/>
      <c r="M8" s="275" t="s">
        <v>38</v>
      </c>
      <c r="N8" s="284"/>
      <c r="O8" s="2082" t="str">
        <f>IF(TITLE_NAME_OR_PR_CHANGE="",IF(TITLE_NAME_OR_PR="","",TITLE_NAME_OR_PR),TITLE_NAME_OR_PR_CHANGE)</f>
        <v>Комитет по тарифам Санкт-Петербурга</v>
      </c>
      <c r="P8" s="2082"/>
      <c r="Q8" s="2082"/>
      <c r="R8" s="2082"/>
      <c r="S8" s="2082"/>
      <c r="T8" s="2082"/>
      <c r="U8" s="2082"/>
      <c r="V8" s="314"/>
      <c r="W8" s="314"/>
      <c r="X8" s="261"/>
      <c r="Y8" s="360"/>
      <c r="Z8" s="360"/>
      <c r="AA8" s="360"/>
      <c r="AB8" s="360"/>
      <c r="AC8" s="360"/>
    </row>
    <row s="1877" customFormat="1" customHeight="1" ht="22.5">
      <c r="F9" s="1254"/>
      <c r="G9" s="1254"/>
      <c r="H9" s="1254"/>
      <c r="L9" s="1293"/>
      <c r="M9" s="275" t="s">
        <v>427</v>
      </c>
      <c r="N9" s="284"/>
      <c r="O9" s="2082" t="str">
        <f>IF(TITLE_DATE_CHANGE_PERIOD="",IF(TITLE_DATE_PR="","",TITLE_DATE_PR),TITLE_DATE_CHANGE_PERIOD)</f>
        <v>45268.58207175926</v>
      </c>
      <c r="P9" s="2082"/>
      <c r="Q9" s="2082"/>
      <c r="R9" s="2082"/>
      <c r="S9" s="2082"/>
      <c r="T9" s="2082"/>
      <c r="U9" s="2082"/>
      <c r="V9" s="314"/>
      <c r="W9" s="314"/>
      <c r="X9" s="261"/>
      <c r="Y9" s="360"/>
      <c r="Z9" s="360"/>
      <c r="AA9" s="360"/>
      <c r="AB9" s="360"/>
      <c r="AC9" s="360"/>
    </row>
    <row s="1877" customFormat="1" customHeight="1" ht="22.5">
      <c r="F10" s="1254"/>
      <c r="G10" s="1254"/>
      <c r="H10" s="1254"/>
      <c r="L10" s="1256"/>
      <c r="M10" s="275" t="s">
        <v>428</v>
      </c>
      <c r="N10" s="284"/>
      <c r="O10" s="2082" t="str">
        <f>IF(TITLE_NUMBER_PR_CHANGE="",IF(TITLE_NUMBER_PR="","",TITLE_NUMBER_PR),TITLE_NUMBER_PR_CHANGE)</f>
        <v>237-р</v>
      </c>
      <c r="P10" s="2082"/>
      <c r="Q10" s="2082"/>
      <c r="R10" s="2082"/>
      <c r="S10" s="2082"/>
      <c r="T10" s="2082"/>
      <c r="U10" s="2082"/>
      <c r="V10" s="314"/>
      <c r="W10" s="314"/>
      <c r="X10" s="261"/>
      <c r="Y10" s="360"/>
      <c r="Z10" s="360"/>
      <c r="AA10" s="360"/>
      <c r="AB10" s="360"/>
      <c r="AC10" s="360"/>
    </row>
    <row s="1877" customFormat="1" customHeight="1" ht="22.5">
      <c r="F11" s="1254"/>
      <c r="G11" s="1254"/>
      <c r="H11" s="1254"/>
      <c r="L11" s="1256"/>
      <c r="M11" s="275" t="s">
        <v>40</v>
      </c>
      <c r="N11" s="284"/>
      <c r="O11" s="2082" t="str">
        <f>IF(TITLE_IST_PUB_CHANGE="",IF(TITLE_IST_PUB="","",TITLE_IST_PUB),TITLE_IST_PUB_CHANGE)</f>
        <v>https://www.gov.spb.ru/gov/otrasl/energ_kom/inform_/standarty-raskrytiya-informacii-komitetom/teplo/</v>
      </c>
      <c r="P11" s="2082"/>
      <c r="Q11" s="2082"/>
      <c r="R11" s="2082"/>
      <c r="S11" s="2082"/>
      <c r="T11" s="2082"/>
      <c r="U11" s="2082"/>
      <c r="V11" s="314"/>
      <c r="W11" s="314"/>
      <c r="X11" s="261"/>
      <c r="Y11" s="360"/>
      <c r="Z11" s="360"/>
      <c r="AA11" s="360"/>
      <c r="AB11" s="360"/>
      <c r="AC11" s="360"/>
    </row>
    <row s="1877" customFormat="1" customHeight="1" ht="11.25" hidden="1">
      <c r="F12" s="1254"/>
      <c r="G12" s="1254"/>
      <c r="H12" s="1254"/>
      <c r="L12" s="2422"/>
      <c r="M12" s="2422"/>
      <c r="N12" s="1304"/>
      <c r="O12" s="314"/>
      <c r="P12" s="314"/>
      <c r="Q12" s="314"/>
      <c r="R12" s="314"/>
      <c r="S12" s="314"/>
      <c r="T12" s="314"/>
      <c r="U12" s="314"/>
      <c r="V12" s="259" t="s">
        <v>431</v>
      </c>
      <c r="Y12" s="360"/>
      <c r="Z12" s="360"/>
      <c r="AA12" s="360"/>
      <c r="AB12" s="360"/>
      <c r="AC12" s="360"/>
    </row>
    <row customHeight="1" ht="14.25">
      <c r="J13" s="368"/>
      <c r="K13" s="368"/>
      <c r="L13" s="1292"/>
      <c r="M13" s="353"/>
      <c r="N13" s="1249"/>
      <c r="O13" s="2106"/>
      <c r="P13" s="2106"/>
      <c r="Q13" s="2106"/>
      <c r="R13" s="2106"/>
      <c r="S13" s="2106"/>
      <c r="T13" s="2106"/>
      <c r="U13" s="2106"/>
      <c r="V13" s="2106"/>
    </row>
    <row customHeight="1" ht="14.25">
      <c r="J14" s="368"/>
      <c r="K14" s="368"/>
      <c r="L14" s="1953" t="s">
        <v>305</v>
      </c>
      <c r="M14" s="1953"/>
      <c r="N14" s="1953"/>
      <c r="O14" s="1953"/>
      <c r="P14" s="1953"/>
      <c r="Q14" s="1953"/>
      <c r="R14" s="1953"/>
      <c r="S14" s="1953"/>
      <c r="T14" s="1953"/>
      <c r="U14" s="1953"/>
      <c r="V14" s="1953"/>
      <c r="W14" s="1953"/>
      <c r="X14" s="1953" t="s">
        <v>306</v>
      </c>
    </row>
    <row customHeight="1" ht="14.25">
      <c r="J15" s="368"/>
      <c r="K15" s="368"/>
      <c r="L15" s="2107" t="s">
        <v>87</v>
      </c>
      <c r="M15" s="2044" t="s">
        <v>432</v>
      </c>
      <c r="N15" s="281"/>
      <c r="O15" s="2108" t="s">
        <v>2140</v>
      </c>
      <c r="P15" s="2109"/>
      <c r="Q15" s="2109"/>
      <c r="R15" s="2109"/>
      <c r="S15" s="2109"/>
      <c r="T15" s="2109"/>
      <c r="U15" s="2110"/>
      <c r="V15" s="2111" t="s">
        <v>434</v>
      </c>
      <c r="W15" s="2114" t="s">
        <v>1059</v>
      </c>
      <c r="X15" s="1953"/>
    </row>
    <row customHeight="1" ht="33.75">
      <c r="J16" s="368"/>
      <c r="K16" s="368"/>
      <c r="L16" s="2107"/>
      <c r="M16" s="2044"/>
      <c r="N16" s="1026"/>
      <c r="O16" s="2117" t="s">
        <v>437</v>
      </c>
      <c r="P16" s="2117" t="s">
        <v>438</v>
      </c>
      <c r="Q16" s="2100" t="s">
        <v>439</v>
      </c>
      <c r="R16" s="2102"/>
      <c r="S16" s="2100" t="s">
        <v>452</v>
      </c>
      <c r="T16" s="2101"/>
      <c r="U16" s="2102"/>
      <c r="V16" s="2112"/>
      <c r="W16" s="2115"/>
      <c r="X16" s="1953"/>
    </row>
    <row customHeight="1" ht="33.75">
      <c r="A17" s="1275" t="s">
        <v>133</v>
      </c>
      <c r="B17" s="1275" t="s">
        <v>134</v>
      </c>
      <c r="C17" s="1275" t="s">
        <v>135</v>
      </c>
      <c r="D17" s="1275" t="s">
        <v>136</v>
      </c>
      <c r="E17" s="1275"/>
      <c r="J17" s="368"/>
      <c r="K17" s="368"/>
      <c r="L17" s="2107"/>
      <c r="M17" s="2044"/>
      <c r="N17" s="282"/>
      <c r="O17" s="2118"/>
      <c r="P17" s="2118"/>
      <c r="Q17" s="1224" t="s">
        <v>448</v>
      </c>
      <c r="R17" s="1224" t="s">
        <v>449</v>
      </c>
      <c r="S17" s="1309" t="s">
        <v>450</v>
      </c>
      <c r="T17" s="2103" t="s">
        <v>451</v>
      </c>
      <c r="U17" s="2104"/>
      <c r="V17" s="2113"/>
      <c r="W17" s="2116"/>
      <c r="X17" s="1953"/>
    </row>
    <row s="1666" customFormat="1" customHeight="1" ht="11.25">
      <c r="A18" s="1275"/>
      <c r="B18" s="1275"/>
      <c r="C18" s="1275"/>
      <c r="D18" s="1275"/>
      <c r="E18" s="1275"/>
      <c r="F18" s="1303"/>
      <c r="G18" s="1303"/>
      <c r="H18" s="1303"/>
      <c r="I18" s="1251"/>
      <c r="J18" s="1252"/>
      <c r="K18" s="1267">
        <v>1</v>
      </c>
      <c r="L18" s="1294" t="s">
        <v>108</v>
      </c>
      <c r="M18" s="1268" t="s">
        <v>109</v>
      </c>
      <c r="N18" s="1250" t="str">
        <f>OFFSET(N18,0,-1)</f>
        <v>2</v>
      </c>
      <c r="O18" s="1306">
        <f>OFFSET(O18,0,-1)+1</f>
        <v>3</v>
      </c>
      <c r="P18" s="1306"/>
      <c r="Q18" s="1306">
        <f>OFFSET(Q18,0,-1)+1</f>
        <v>1</v>
      </c>
      <c r="R18" s="1306">
        <f>OFFSET(R18,0,-1)+1</f>
        <v>2</v>
      </c>
      <c r="S18" s="1306">
        <f>OFFSET(S18,0,-1)+1</f>
        <v>3</v>
      </c>
      <c r="T18" s="2105">
        <f>OFFSET(T18,0,-1)+1</f>
        <v>4</v>
      </c>
      <c r="U18" s="2105"/>
      <c r="V18" s="1306">
        <f>OFFSET(V18,0,-2)+1</f>
        <v>5</v>
      </c>
      <c r="W18" s="1250">
        <f>OFFSET(W18,0,-1)</f>
        <v>5</v>
      </c>
      <c r="X18" s="1306">
        <f>OFFSET(X18,0,-1)+1</f>
        <v>6</v>
      </c>
      <c r="Y18" s="507"/>
      <c r="Z18" s="507"/>
      <c r="AA18" s="507"/>
      <c r="AB18" s="507"/>
      <c r="AC18" s="507"/>
    </row>
    <row customHeight="1" ht="21">
      <c r="A19" s="1283" t="s">
        <v>2150</v>
      </c>
      <c r="B19" s="1283" t="s">
        <v>2151</v>
      </c>
      <c r="C19" s="1283" t="s">
        <v>2152</v>
      </c>
      <c r="D19" s="1283" t="s">
        <v>2153</v>
      </c>
      <c r="E19" s="1283"/>
      <c r="F19" s="683"/>
      <c r="G19" s="683"/>
      <c r="H19" s="683"/>
      <c r="I19" s="349"/>
      <c r="J19" s="348"/>
      <c r="K19" s="343"/>
      <c r="L19" s="1310">
        <f>INDEX(PT_DIFFERENTIATION_NUM_NTAR,MATCH(A19,PT_DIFFERENTIATION_NTAR_ID,0))</f>
      </c>
      <c r="M19" s="278" t="s">
        <v>122</v>
      </c>
      <c r="N19" s="280"/>
      <c r="O19" s="2416">
        <f>INDEX(PT_DIFFERENTIATION_NTAR,MATCH(A19,PT_DIFFERENTIATION_NTAR_ID,0))</f>
      </c>
      <c r="P19" s="2416"/>
      <c r="Q19" s="2416"/>
      <c r="R19" s="2416"/>
      <c r="S19" s="2416"/>
      <c r="T19" s="2416"/>
      <c r="U19" s="2416"/>
      <c r="V19" s="2416"/>
      <c r="W19" s="2416"/>
      <c r="X19" s="1273" t="s">
        <v>403</v>
      </c>
      <c r="Z19" s="496"/>
      <c r="AA19" s="496" t="str">
        <f>IF(M19="","",M19)</f>
        <v>Наименование тарифа</v>
      </c>
      <c r="AB19" s="496"/>
      <c r="AC19" s="496"/>
    </row>
    <row customHeight="1" ht="21">
      <c r="A20" s="1283" t="s">
        <v>2150</v>
      </c>
      <c r="B20" s="1283" t="s">
        <v>2151</v>
      </c>
      <c r="C20" s="1283" t="s">
        <v>2152</v>
      </c>
      <c r="D20" s="1283" t="s">
        <v>2153</v>
      </c>
      <c r="E20" s="1283"/>
      <c r="F20" s="683"/>
      <c r="G20" s="683"/>
      <c r="H20" s="683"/>
      <c r="I20" s="1307"/>
      <c r="J20" s="340"/>
      <c r="K20" s="341"/>
      <c r="L20" s="1310">
        <f>INDEX(PT_DIFFERENTIATION_NUM_TER,MATCH(B19,PT_DIFFERENTIATION_TER_ID,0))</f>
      </c>
      <c r="M20" s="290" t="s">
        <v>404</v>
      </c>
      <c r="N20" s="280"/>
      <c r="O20" s="2416">
        <f>INDEX(PT_DIFFERENTIATION_TER,MATCH(B19,PT_DIFFERENTIATION_TER_ID,0))</f>
      </c>
      <c r="P20" s="2416"/>
      <c r="Q20" s="2416"/>
      <c r="R20" s="2416"/>
      <c r="S20" s="2416"/>
      <c r="T20" s="2416"/>
      <c r="U20" s="2416"/>
      <c r="V20" s="2416"/>
      <c r="W20" s="2416"/>
      <c r="X20" s="1273" t="s">
        <v>405</v>
      </c>
      <c r="Z20" s="496"/>
      <c r="AA20" s="496" t="str">
        <f>IF(M20="","",M20)</f>
        <v>Территория действия тарифа</v>
      </c>
      <c r="AB20" s="496"/>
      <c r="AC20" s="496"/>
    </row>
    <row customHeight="1" ht="22.5">
      <c r="A21" s="1283" t="s">
        <v>2150</v>
      </c>
      <c r="B21" s="1283" t="s">
        <v>2151</v>
      </c>
      <c r="C21" s="1283" t="s">
        <v>2152</v>
      </c>
      <c r="D21" s="1283" t="s">
        <v>2153</v>
      </c>
      <c r="E21" s="1283"/>
      <c r="F21" s="683"/>
      <c r="G21" s="683"/>
      <c r="H21" s="683"/>
      <c r="I21" s="342"/>
      <c r="J21" s="340"/>
      <c r="K21" s="341"/>
      <c r="L21" s="1310">
        <f>INDEX(PT_DIFFERENTIATION_NUM_CS,MATCH(C19,PT_DIFFERENTIATION_CS_ID,0))</f>
      </c>
      <c r="M21" s="291" t="s">
        <v>406</v>
      </c>
      <c r="N21" s="280"/>
      <c r="O21" s="2416">
        <f>INDEX(PT_DIFFERENTIATION_CS,MATCH(C19,PT_DIFFERENTIATION_CS_ID,0))</f>
      </c>
      <c r="P21" s="2416"/>
      <c r="Q21" s="2416"/>
      <c r="R21" s="2416"/>
      <c r="S21" s="2416"/>
      <c r="T21" s="2416"/>
      <c r="U21" s="2416"/>
      <c r="V21" s="2416"/>
      <c r="W21" s="2416"/>
      <c r="X21" s="1273" t="s">
        <v>407</v>
      </c>
      <c r="Z21" s="496"/>
      <c r="AA21" s="496" t="str">
        <f>IF(M21="","",M21)</f>
        <v>Наименование системы теплоснабжения </v>
      </c>
      <c r="AB21" s="496"/>
      <c r="AC21" s="496"/>
    </row>
    <row customHeight="1" ht="21">
      <c r="A22" s="1283" t="s">
        <v>2150</v>
      </c>
      <c r="B22" s="1283" t="s">
        <v>2151</v>
      </c>
      <c r="C22" s="1283" t="s">
        <v>2152</v>
      </c>
      <c r="D22" s="1283" t="s">
        <v>2153</v>
      </c>
      <c r="E22" s="1283"/>
      <c r="F22" s="683"/>
      <c r="G22" s="683"/>
      <c r="H22" s="683"/>
      <c r="I22" s="342"/>
      <c r="J22" s="340"/>
      <c r="K22" s="341"/>
      <c r="L22" s="1310">
        <f>INDEX(PT_DIFFERENTIATION_NUM_IST_TE,MATCH(D19,PT_DIFFERENTIATION_IST_TE_ID,0))</f>
      </c>
      <c r="M22" s="292" t="s">
        <v>408</v>
      </c>
      <c r="N22" s="280"/>
      <c r="O22" s="2416">
        <f>INDEX(PT_DIFFERENTIATION_IST_TE,MATCH(D19,PT_DIFFERENTIATION_IST_TE_ID,0))</f>
      </c>
      <c r="P22" s="2416"/>
      <c r="Q22" s="2416"/>
      <c r="R22" s="2416"/>
      <c r="S22" s="2416"/>
      <c r="T22" s="2416"/>
      <c r="U22" s="2416"/>
      <c r="V22" s="2416"/>
      <c r="W22" s="2416"/>
      <c r="X22" s="1273" t="s">
        <v>409</v>
      </c>
      <c r="Z22" s="496"/>
      <c r="AA22" s="496" t="str">
        <f>IF(M22="","",M22)</f>
        <v>Источник тепловой энергии  </v>
      </c>
      <c r="AB22" s="496"/>
      <c r="AC22" s="496"/>
    </row>
    <row customHeight="1" ht="94.5">
      <c r="A23" s="1283" t="s">
        <v>2150</v>
      </c>
      <c r="B23" s="1283" t="s">
        <v>2151</v>
      </c>
      <c r="C23" s="1283" t="s">
        <v>2152</v>
      </c>
      <c r="D23" s="1283" t="s">
        <v>2153</v>
      </c>
      <c r="E23" s="1283"/>
      <c r="F23" s="1951">
        <f>L22&amp;".1"</f>
      </c>
      <c r="I23" s="2093">
        <v>1</v>
      </c>
      <c r="J23" s="1308"/>
      <c r="K23" s="344"/>
      <c r="L23" s="1310">
        <f>$F$23</f>
      </c>
      <c r="M23" s="266" t="s">
        <v>411</v>
      </c>
      <c r="N23" s="280"/>
      <c r="O23" s="2418"/>
      <c r="P23" s="2418"/>
      <c r="Q23" s="2418"/>
      <c r="R23" s="2418"/>
      <c r="S23" s="2418"/>
      <c r="T23" s="2418"/>
      <c r="U23" s="2418"/>
      <c r="V23" s="2418"/>
      <c r="W23" s="2418"/>
      <c r="X23" s="1273" t="s">
        <v>412</v>
      </c>
      <c r="Z23" s="496"/>
      <c r="AA23" s="496" t="str">
        <f>IF(M23="","",M23)</f>
        <v>Схема подключения теплопотребляющей установки к коллектору источника тепловой энергии</v>
      </c>
      <c r="AB23" s="496"/>
      <c r="AC23" s="496"/>
    </row>
    <row customHeight="1" ht="84">
      <c r="A24" s="1283" t="s">
        <v>2150</v>
      </c>
      <c r="B24" s="1283" t="s">
        <v>2151</v>
      </c>
      <c r="C24" s="1283" t="s">
        <v>2152</v>
      </c>
      <c r="D24" s="1283" t="s">
        <v>2153</v>
      </c>
      <c r="E24" s="1283"/>
      <c r="F24" s="1951"/>
      <c r="G24" s="1935">
        <f>F23&amp;".1"</f>
      </c>
      <c r="I24" s="2093"/>
      <c r="J24" s="2093">
        <v>1</v>
      </c>
      <c r="K24" s="345"/>
      <c r="L24" s="1310">
        <f>$G$24</f>
      </c>
      <c r="M24" s="267" t="s">
        <v>414</v>
      </c>
      <c r="N24" s="280"/>
      <c r="O24" s="2419"/>
      <c r="P24" s="2420"/>
      <c r="Q24" s="2420"/>
      <c r="R24" s="2420"/>
      <c r="S24" s="2420"/>
      <c r="T24" s="2420"/>
      <c r="U24" s="2420"/>
      <c r="V24" s="2420"/>
      <c r="W24" s="2421"/>
      <c r="X24" s="1273" t="s">
        <v>415</v>
      </c>
      <c r="Z24" s="496"/>
      <c r="AA24" s="496" t="str">
        <f>IF(M24="","",M24)</f>
        <v>Группа потребителей</v>
      </c>
      <c r="AB24" s="496"/>
      <c r="AC24" s="496"/>
    </row>
    <row customHeight="1" ht="11.25">
      <c r="A25" s="1283" t="s">
        <v>2150</v>
      </c>
      <c r="B25" s="1283" t="s">
        <v>2151</v>
      </c>
      <c r="C25" s="1283" t="s">
        <v>2152</v>
      </c>
      <c r="D25" s="1283" t="s">
        <v>2153</v>
      </c>
      <c r="E25" s="1283"/>
      <c r="F25" s="1951"/>
      <c r="G25" s="1935"/>
      <c r="H25" s="1935">
        <f>G24&amp;".1"</f>
      </c>
      <c r="I25" s="2093"/>
      <c r="J25" s="2093"/>
      <c r="K25" s="345">
        <v>1</v>
      </c>
      <c r="L25" s="1310">
        <f>$H$25</f>
      </c>
      <c r="M25" s="1274"/>
      <c r="N25" s="280"/>
      <c r="O25" s="746"/>
      <c r="P25" s="312"/>
      <c r="Q25" s="746"/>
      <c r="R25" s="1272"/>
      <c r="S25" s="2425"/>
      <c r="T25" s="1963" t="s">
        <v>66</v>
      </c>
      <c r="U25" s="2425"/>
      <c r="V25" s="1963" t="s">
        <v>56</v>
      </c>
      <c r="W25" s="312"/>
      <c r="X25" s="2119" t="s">
        <v>417</v>
      </c>
      <c r="Y25" s="507">
        <f>STRCHECKDATE(O26:W26)</f>
      </c>
      <c r="Z25" s="496"/>
      <c r="AA25" s="496" t="str">
        <f>IF(M25="","",M25)</f>
        <v/>
      </c>
      <c r="AB25" s="496"/>
      <c r="AC25" s="496"/>
    </row>
    <row customHeight="1" ht="11.25">
      <c r="A26" s="1283" t="s">
        <v>2150</v>
      </c>
      <c r="B26" s="1283" t="s">
        <v>2151</v>
      </c>
      <c r="C26" s="1283" t="s">
        <v>2152</v>
      </c>
      <c r="D26" s="1283" t="s">
        <v>2153</v>
      </c>
      <c r="E26" s="1283"/>
      <c r="F26" s="1951"/>
      <c r="G26" s="1935"/>
      <c r="H26" s="1935"/>
      <c r="I26" s="2093"/>
      <c r="J26" s="2093"/>
      <c r="K26" s="345"/>
      <c r="L26" s="1311"/>
      <c r="M26" s="280"/>
      <c r="N26" s="280"/>
      <c r="O26" s="312"/>
      <c r="P26" s="312"/>
      <c r="Q26" s="312"/>
      <c r="R26" s="316" t="str">
        <f>S25&amp;"-"&amp;U25</f>
        <v>-</v>
      </c>
      <c r="S26" s="2095"/>
      <c r="T26" s="1963"/>
      <c r="U26" s="2095"/>
      <c r="V26" s="1963"/>
      <c r="W26" s="312"/>
      <c r="X26" s="2120"/>
      <c r="Z26" s="496"/>
      <c r="AA26" s="496" t="str">
        <f>IF(M26="","",M26)</f>
        <v/>
      </c>
      <c r="AB26" s="496"/>
      <c r="AC26" s="496"/>
    </row>
    <row customHeight="1" ht="15">
      <c r="A27" s="1283" t="s">
        <v>2150</v>
      </c>
      <c r="B27" s="1283" t="s">
        <v>2151</v>
      </c>
      <c r="C27" s="1283" t="s">
        <v>2152</v>
      </c>
      <c r="D27" s="1283" t="s">
        <v>2153</v>
      </c>
      <c r="E27" s="1283"/>
      <c r="F27" s="1951"/>
      <c r="G27" s="1935"/>
      <c r="I27" s="2093"/>
      <c r="J27" s="2093"/>
      <c r="K27" s="344"/>
      <c r="L27" s="1295"/>
      <c r="M27" s="269" t="s">
        <v>418</v>
      </c>
      <c r="N27" s="359"/>
      <c r="O27" s="359"/>
      <c r="P27" s="359"/>
      <c r="Q27" s="359"/>
      <c r="R27" s="359"/>
      <c r="S27" s="359"/>
      <c r="T27" s="359"/>
      <c r="U27" s="359"/>
      <c r="V27" s="359"/>
      <c r="W27" s="311"/>
      <c r="X27" s="2121"/>
      <c r="Z27" s="496"/>
      <c r="AA27" s="496" t="str">
        <f>IF(M27="","",M27)</f>
        <v>Добавить вид теплоносителя (параметры теплоносителя)</v>
      </c>
      <c r="AB27" s="496"/>
      <c r="AC27" s="496"/>
    </row>
    <row customHeight="1" ht="15">
      <c r="A28" s="1283" t="s">
        <v>2150</v>
      </c>
      <c r="B28" s="1283" t="s">
        <v>2151</v>
      </c>
      <c r="C28" s="1283" t="s">
        <v>2152</v>
      </c>
      <c r="D28" s="1283" t="s">
        <v>2153</v>
      </c>
      <c r="E28" s="1283"/>
      <c r="F28" s="1951"/>
      <c r="I28" s="2093"/>
      <c r="J28" s="1308"/>
      <c r="K28" s="344"/>
      <c r="L28" s="1295"/>
      <c r="M28" s="268" t="s">
        <v>419</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283" t="s">
        <v>2150</v>
      </c>
      <c r="B29" s="1283" t="s">
        <v>2151</v>
      </c>
      <c r="C29" s="1283" t="s">
        <v>2152</v>
      </c>
      <c r="D29" s="1283" t="s">
        <v>2153</v>
      </c>
      <c r="E29" s="1283"/>
      <c r="F29" s="683"/>
      <c r="G29" s="683"/>
      <c r="H29" s="505"/>
      <c r="I29" s="348"/>
      <c r="J29" s="367"/>
      <c r="K29" s="343"/>
      <c r="L29" s="1295"/>
      <c r="M29" s="356" t="s">
        <v>420</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283" t="s">
        <v>2150</v>
      </c>
      <c r="B30" s="1283" t="s">
        <v>2151</v>
      </c>
      <c r="C30" s="1283" t="s">
        <v>2152</v>
      </c>
      <c r="D30" s="1283"/>
      <c r="E30" s="1283" t="s">
        <v>585</v>
      </c>
      <c r="F30" s="683"/>
      <c r="G30" s="683"/>
      <c r="H30" s="505"/>
      <c r="I30" s="348"/>
      <c r="J30" s="367"/>
      <c r="K30" s="343"/>
      <c r="L30" s="1296"/>
      <c r="M30" s="1285"/>
      <c r="N30" s="1286"/>
      <c r="O30" s="1286"/>
      <c r="P30" s="1286"/>
      <c r="Q30" s="1286"/>
      <c r="R30" s="1286"/>
      <c r="S30" s="1286"/>
      <c r="T30" s="1286"/>
      <c r="U30" s="1286"/>
      <c r="V30" s="1287"/>
      <c r="W30" s="1286"/>
      <c r="X30" s="1288"/>
      <c r="Z30" s="496"/>
      <c r="AA30" s="496" t="str">
        <f>IF(M30="","",M30)</f>
        <v/>
      </c>
      <c r="AB30" s="496"/>
      <c r="AC30" s="496"/>
    </row>
    <row customHeight="1" ht="14.25">
      <c r="A31" s="1283" t="s">
        <v>2150</v>
      </c>
      <c r="B31" s="1283" t="s">
        <v>2151</v>
      </c>
      <c r="C31" s="1283"/>
      <c r="D31" s="1283"/>
      <c r="E31" s="1283" t="s">
        <v>2141</v>
      </c>
      <c r="F31" s="1270"/>
      <c r="G31" s="1270"/>
      <c r="H31" s="505"/>
      <c r="I31" s="346"/>
      <c r="J31" s="367"/>
      <c r="K31" s="347"/>
      <c r="L31" s="1296"/>
      <c r="M31" s="1289"/>
      <c r="N31" s="1286"/>
      <c r="O31" s="1286"/>
      <c r="P31" s="1286"/>
      <c r="Q31" s="1286"/>
      <c r="R31" s="1286"/>
      <c r="S31" s="1286"/>
      <c r="T31" s="1286"/>
      <c r="U31" s="1286"/>
      <c r="V31" s="1287"/>
      <c r="W31" s="1286"/>
      <c r="X31" s="1288"/>
      <c r="Z31" s="496"/>
      <c r="AA31" s="496" t="str">
        <f>IF(M31="","",M31)</f>
        <v/>
      </c>
      <c r="AB31" s="496"/>
      <c r="AC31" s="496"/>
    </row>
    <row customHeight="1" ht="14.25">
      <c r="A32" s="1283" t="s">
        <v>2154</v>
      </c>
      <c r="B32" s="1283"/>
      <c r="C32" s="1283"/>
      <c r="D32" s="1283"/>
      <c r="E32" s="1283" t="s">
        <v>103</v>
      </c>
      <c r="F32" s="1270"/>
      <c r="G32" s="1270"/>
      <c r="H32" s="505"/>
      <c r="I32" s="348"/>
      <c r="J32" s="367"/>
      <c r="K32" s="343"/>
      <c r="L32" s="1296"/>
      <c r="M32" s="1290"/>
      <c r="N32" s="1286"/>
      <c r="O32" s="1286"/>
      <c r="P32" s="1286"/>
      <c r="Q32" s="1286"/>
      <c r="R32" s="1286"/>
      <c r="S32" s="1286"/>
      <c r="T32" s="1286"/>
      <c r="U32" s="1286"/>
      <c r="V32" s="1287"/>
      <c r="W32" s="1286"/>
      <c r="X32" s="1288"/>
      <c r="Z32" s="496"/>
      <c r="AA32" s="496" t="str">
        <f>IF(M32="","",M32)</f>
        <v/>
      </c>
      <c r="AB32" s="496"/>
      <c r="AC32" s="496"/>
    </row>
    <row s="2437" customFormat="1" customHeight="1" ht="11.25">
      <c r="A33" s="1283"/>
      <c r="B33" s="1283"/>
      <c r="C33" s="1283"/>
      <c r="D33" s="1283"/>
      <c r="E33" s="1283" t="s">
        <v>180</v>
      </c>
      <c r="F33" s="1284"/>
      <c r="G33" s="1271"/>
      <c r="H33" s="505"/>
      <c r="L33" s="1297"/>
      <c r="M33" s="1291"/>
      <c r="N33" s="1286"/>
      <c r="O33" s="1286"/>
      <c r="P33" s="1286"/>
      <c r="Q33" s="1286"/>
      <c r="R33" s="1286"/>
      <c r="S33" s="1286"/>
      <c r="T33" s="1286"/>
      <c r="U33" s="1286"/>
      <c r="V33" s="1287"/>
      <c r="W33" s="1286"/>
      <c r="X33" s="1288"/>
      <c r="Y33" s="374"/>
      <c r="Z33" s="374"/>
      <c r="AA33" s="374"/>
      <c r="AB33" s="374"/>
      <c r="AC33" s="374"/>
    </row>
    <row customHeight="1" ht="11.25">
      <c r="F34" s="1150"/>
      <c r="G34" s="1150"/>
      <c r="H34" s="505"/>
      <c r="I34" s="1150"/>
      <c r="J34" s="1150"/>
      <c r="K34" s="1150"/>
      <c r="Y34" s="1150"/>
      <c r="Z34" s="1150"/>
      <c r="AA34" s="1150"/>
      <c r="AB34" s="1150"/>
      <c r="AC34" s="1150"/>
    </row>
    <row customHeight="1" ht="27">
      <c r="H35" s="505"/>
      <c r="L35" s="1305" t="s">
        <v>717</v>
      </c>
      <c r="M35" s="2088" t="s">
        <v>2143</v>
      </c>
      <c r="N35" s="2088"/>
      <c r="O35" s="2088"/>
      <c r="P35" s="2088"/>
      <c r="Q35" s="2088"/>
      <c r="R35" s="2088"/>
      <c r="S35" s="2088"/>
      <c r="T35" s="2088"/>
      <c r="U35" s="2088"/>
      <c r="V35" s="2088"/>
      <c r="W35" s="2088"/>
      <c r="X35" s="2088"/>
    </row>
    <row customHeight="1" ht="104.25">
      <c r="F36" s="1320"/>
      <c r="G36" s="1320"/>
      <c r="H36" s="505"/>
      <c r="I36" s="1320"/>
      <c r="M36" s="2088" t="s">
        <v>2144</v>
      </c>
      <c r="N36" s="2088"/>
      <c r="O36" s="2088"/>
      <c r="P36" s="2088"/>
      <c r="Q36" s="2088"/>
      <c r="R36" s="2088"/>
      <c r="S36" s="2088"/>
      <c r="T36" s="2088"/>
      <c r="U36" s="2088"/>
      <c r="V36" s="2088"/>
      <c r="W36" s="2088"/>
      <c r="X36" s="2088"/>
    </row>
    <row customHeight="1" ht="14.25">
      <c r="H37" s="505"/>
    </row>
    <row customHeight="1" ht="14.25">
      <c r="H38" s="505"/>
    </row>
    <row customHeight="1" ht="14.25">
      <c r="H39" s="505"/>
    </row>
    <row customHeight="1" ht="14.25">
      <c r="H40" s="50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ED28DC-8387-0DDF-26DC-CE406913B27C}"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1667" width="10.57421875"/>
    <col min="7" max="8" style="506" width="9.140625" customWidth="1"/>
    <col min="9" max="9" style="2216" width="3.7109375" customWidth="1"/>
    <col min="10" max="11" style="332" width="3.7109375" customWidth="1"/>
    <col min="12" max="12" style="1660" width="12.7109375" customWidth="1"/>
    <col min="13" max="13" style="1660" width="47.421875" customWidth="1"/>
    <col min="14" max="14" style="1660" width="2.7109375" hidden="1" customWidth="1"/>
    <col min="15" max="18" style="1660" width="23.7109375" customWidth="1"/>
    <col min="19" max="19" style="1660" width="11.7109375" customWidth="1"/>
    <col min="20" max="20" style="1660" width="3.7109375" customWidth="1"/>
    <col min="21" max="21" style="1660" width="11.7109375" customWidth="1"/>
    <col min="22" max="22" style="1660" width="8.57421875" hidden="1" customWidth="1"/>
    <col min="23" max="23" style="1660" width="4.7109375" customWidth="1"/>
    <col min="24" max="24" style="1660" width="115.7109375" customWidth="1"/>
    <col min="25" max="29" style="1667" width="10.57421875"/>
  </cols>
  <sheetData>
    <row customHeight="1" ht="14.25" hidden="1"/>
    <row customHeight="1" ht="14.25" hidden="1"/>
    <row customHeight="1" ht="14.25" hidden="1"/>
    <row customHeight="1" ht="14.25">
      <c r="J4" s="368"/>
      <c r="K4" s="368"/>
      <c r="L4" s="353"/>
      <c r="M4" s="353"/>
      <c r="N4" s="353"/>
      <c r="O4" s="505"/>
      <c r="P4" s="505"/>
      <c r="Q4" s="505"/>
      <c r="R4" s="505"/>
      <c r="S4" s="505"/>
      <c r="T4" s="505"/>
      <c r="U4" s="505"/>
      <c r="V4" s="353"/>
    </row>
    <row customHeight="1" ht="14.25">
      <c r="J5" s="368"/>
      <c r="K5" s="368"/>
      <c r="L5" s="2430" t="s">
        <v>2155</v>
      </c>
      <c r="M5" s="2430"/>
      <c r="N5" s="2430"/>
      <c r="O5" s="2430"/>
      <c r="P5" s="2430"/>
      <c r="Q5" s="2430"/>
      <c r="R5" s="2430"/>
      <c r="S5" s="2430"/>
      <c r="T5" s="2430"/>
      <c r="U5" s="257"/>
      <c r="V5" s="257"/>
    </row>
    <row customHeight="1" ht="14.25">
      <c r="J6" s="368"/>
      <c r="K6" s="368"/>
      <c r="L6" s="353"/>
      <c r="M6" s="353"/>
      <c r="N6" s="353"/>
      <c r="O6" s="308"/>
      <c r="P6" s="308"/>
      <c r="Q6" s="308"/>
      <c r="R6" s="308"/>
      <c r="S6" s="308"/>
      <c r="T6" s="308"/>
      <c r="U6" s="353"/>
    </row>
    <row s="1877" customFormat="1" customHeight="1" ht="22.5">
      <c r="A7" s="360"/>
      <c r="B7" s="360"/>
      <c r="C7" s="360"/>
      <c r="D7" s="360"/>
      <c r="E7" s="360"/>
      <c r="F7" s="360"/>
      <c r="G7" s="360"/>
      <c r="H7" s="360"/>
      <c r="L7" s="258"/>
      <c r="M7" s="275" t="s">
        <v>38</v>
      </c>
      <c r="N7" s="284"/>
      <c r="O7" s="2431">
        <f>IF(NameOrPr_ch="",IF(NameOrPr="","",NameOrPr),NameOrPr_ch)</f>
      </c>
      <c r="P7" s="2432"/>
      <c r="Q7" s="2432"/>
      <c r="R7" s="2432"/>
      <c r="S7" s="2432"/>
      <c r="T7" s="2433"/>
      <c r="U7" s="1253"/>
      <c r="Y7" s="360"/>
      <c r="Z7" s="360"/>
      <c r="AA7" s="360"/>
      <c r="AB7" s="360"/>
      <c r="AC7" s="360"/>
    </row>
    <row s="1877" customFormat="1" customHeight="1" ht="18.75">
      <c r="A8" s="360"/>
      <c r="B8" s="360"/>
      <c r="C8" s="360"/>
      <c r="D8" s="360"/>
      <c r="E8" s="360"/>
      <c r="F8" s="360"/>
      <c r="G8" s="360"/>
      <c r="H8" s="360"/>
      <c r="L8" s="258"/>
      <c r="M8" s="275" t="s">
        <v>427</v>
      </c>
      <c r="N8" s="284"/>
      <c r="O8" s="2431">
        <f>IF(datePr_ch="",IF(datePr="","",datePr),datePr_ch)</f>
      </c>
      <c r="P8" s="2432"/>
      <c r="Q8" s="2432"/>
      <c r="R8" s="2432"/>
      <c r="S8" s="2432"/>
      <c r="T8" s="2433"/>
      <c r="U8" s="1253"/>
      <c r="Y8" s="360"/>
      <c r="Z8" s="360"/>
      <c r="AA8" s="360"/>
      <c r="AB8" s="360"/>
      <c r="AC8" s="360"/>
    </row>
    <row s="1877" customFormat="1" customHeight="1" ht="18.75">
      <c r="A9" s="360"/>
      <c r="B9" s="360"/>
      <c r="C9" s="360"/>
      <c r="D9" s="360"/>
      <c r="E9" s="360"/>
      <c r="F9" s="360"/>
      <c r="G9" s="360"/>
      <c r="H9" s="360"/>
      <c r="L9" s="310"/>
      <c r="M9" s="275" t="s">
        <v>428</v>
      </c>
      <c r="N9" s="284"/>
      <c r="O9" s="2431">
        <f>IF(numberPr_ch="",IF(numberPr="","",numberPr),numberPr_ch)</f>
      </c>
      <c r="P9" s="2432"/>
      <c r="Q9" s="2432"/>
      <c r="R9" s="2432"/>
      <c r="S9" s="2432"/>
      <c r="T9" s="2433"/>
      <c r="U9" s="1253"/>
      <c r="Y9" s="360"/>
      <c r="Z9" s="360"/>
      <c r="AA9" s="360"/>
      <c r="AB9" s="360"/>
      <c r="AC9" s="360"/>
    </row>
    <row s="1877" customFormat="1" customHeight="1" ht="18.75">
      <c r="A10" s="360"/>
      <c r="B10" s="360"/>
      <c r="C10" s="360"/>
      <c r="D10" s="360"/>
      <c r="E10" s="360"/>
      <c r="F10" s="360"/>
      <c r="G10" s="360"/>
      <c r="H10" s="360"/>
      <c r="L10" s="310"/>
      <c r="M10" s="275" t="s">
        <v>40</v>
      </c>
      <c r="N10" s="284"/>
      <c r="O10" s="2431">
        <f>IF(IstPub_ch="",IF(IstPub="","",IstPub),IstPub_ch)</f>
      </c>
      <c r="P10" s="2432"/>
      <c r="Q10" s="2432"/>
      <c r="R10" s="2432"/>
      <c r="S10" s="2432"/>
      <c r="T10" s="2433"/>
      <c r="U10" s="1253"/>
      <c r="Y10" s="360"/>
      <c r="Z10" s="360"/>
      <c r="AA10" s="360"/>
      <c r="AB10" s="360"/>
      <c r="AC10" s="360"/>
    </row>
    <row s="1877" customFormat="1" customHeight="1" ht="18.75" hidden="1">
      <c r="A11" s="1257"/>
      <c r="B11" s="1257"/>
      <c r="C11" s="1257"/>
      <c r="D11" s="1257"/>
      <c r="E11" s="1257"/>
      <c r="F11" s="1257"/>
      <c r="G11" s="1257"/>
      <c r="H11" s="1257"/>
      <c r="L11" s="310"/>
      <c r="M11" s="307"/>
      <c r="O11" s="1258"/>
      <c r="P11" s="1258"/>
      <c r="Q11" s="360" t="s">
        <v>2156</v>
      </c>
      <c r="R11" s="360" t="s">
        <v>2157</v>
      </c>
      <c r="S11" s="1258"/>
      <c r="T11" s="1258"/>
      <c r="U11" s="1253"/>
      <c r="Y11" s="1257"/>
      <c r="Z11" s="1257"/>
      <c r="AA11" s="1257"/>
      <c r="AB11" s="1257"/>
      <c r="AC11" s="1257"/>
    </row>
    <row s="1877" customFormat="1" customHeight="1" ht="11.25" hidden="1">
      <c r="A12" s="360"/>
      <c r="B12" s="360"/>
      <c r="C12" s="360"/>
      <c r="D12" s="360"/>
      <c r="E12" s="360"/>
      <c r="F12" s="360"/>
      <c r="G12" s="360"/>
      <c r="H12" s="360"/>
      <c r="L12" s="2422"/>
      <c r="M12" s="2422"/>
      <c r="N12" s="1220"/>
      <c r="O12" s="314"/>
      <c r="P12" s="314"/>
      <c r="Q12" s="314"/>
      <c r="R12" s="314"/>
      <c r="S12" s="314"/>
      <c r="T12" s="314"/>
      <c r="U12" s="1256"/>
      <c r="V12" s="259" t="s">
        <v>431</v>
      </c>
      <c r="Y12" s="360"/>
      <c r="Z12" s="360"/>
      <c r="AA12" s="360"/>
      <c r="AB12" s="360"/>
      <c r="AC12" s="360"/>
    </row>
    <row customHeight="1" ht="14.25">
      <c r="J13" s="368"/>
      <c r="K13" s="368"/>
      <c r="L13" s="353"/>
      <c r="M13" s="353"/>
      <c r="N13" s="353"/>
      <c r="O13" s="1259"/>
      <c r="P13" s="1259"/>
      <c r="Q13" s="2428"/>
      <c r="R13" s="2428"/>
      <c r="S13" s="2428"/>
      <c r="T13" s="2428"/>
      <c r="U13" s="2428"/>
      <c r="V13" s="2428"/>
    </row>
    <row customHeight="1" ht="14.25">
      <c r="J14" s="368"/>
      <c r="K14" s="368"/>
      <c r="L14" s="1953" t="s">
        <v>305</v>
      </c>
      <c r="M14" s="1953"/>
      <c r="N14" s="1953"/>
      <c r="O14" s="1953"/>
      <c r="P14" s="1953"/>
      <c r="Q14" s="1953"/>
      <c r="R14" s="1953"/>
      <c r="S14" s="1953"/>
      <c r="T14" s="1953"/>
      <c r="U14" s="1953"/>
      <c r="V14" s="1953"/>
      <c r="W14" s="1953"/>
      <c r="X14" s="1953" t="s">
        <v>306</v>
      </c>
    </row>
    <row customHeight="1" ht="14.25">
      <c r="J15" s="368"/>
      <c r="K15" s="368"/>
      <c r="L15" s="2044" t="s">
        <v>87</v>
      </c>
      <c r="M15" s="2044" t="s">
        <v>2158</v>
      </c>
      <c r="N15" s="1219"/>
      <c r="O15" s="2044" t="s">
        <v>2159</v>
      </c>
      <c r="P15" s="2043" t="s">
        <v>2160</v>
      </c>
      <c r="Q15" s="2043" t="s">
        <v>2140</v>
      </c>
      <c r="R15" s="2043"/>
      <c r="S15" s="2043"/>
      <c r="T15" s="2043"/>
      <c r="U15" s="2043"/>
      <c r="V15" s="2044" t="s">
        <v>434</v>
      </c>
      <c r="W15" s="2429" t="s">
        <v>1059</v>
      </c>
      <c r="X15" s="1953"/>
    </row>
    <row customHeight="1" ht="25.5">
      <c r="J16" s="368"/>
      <c r="K16" s="368"/>
      <c r="L16" s="2044"/>
      <c r="M16" s="2044"/>
      <c r="N16" s="1219"/>
      <c r="O16" s="2044"/>
      <c r="P16" s="2043"/>
      <c r="Q16" s="2043" t="s">
        <v>2161</v>
      </c>
      <c r="R16" s="2043"/>
      <c r="S16" s="2135" t="s">
        <v>452</v>
      </c>
      <c r="T16" s="2135"/>
      <c r="U16" s="2135"/>
      <c r="V16" s="2044"/>
      <c r="W16" s="2429"/>
      <c r="X16" s="1953"/>
    </row>
    <row customHeight="1" ht="14.25">
      <c r="J17" s="368"/>
      <c r="K17" s="368"/>
      <c r="L17" s="2044"/>
      <c r="M17" s="2044"/>
      <c r="N17" s="1219"/>
      <c r="O17" s="2044"/>
      <c r="P17" s="2043"/>
      <c r="Q17" s="1219" t="s">
        <v>485</v>
      </c>
      <c r="R17" s="1219" t="s">
        <v>486</v>
      </c>
      <c r="S17" s="1223" t="s">
        <v>450</v>
      </c>
      <c r="T17" s="2426" t="s">
        <v>451</v>
      </c>
      <c r="U17" s="2426"/>
      <c r="V17" s="2044"/>
      <c r="W17" s="2429"/>
      <c r="X17" s="1953"/>
    </row>
    <row customHeight="1" ht="14.25">
      <c r="J18" s="368"/>
      <c r="K18" s="272">
        <v>1</v>
      </c>
      <c r="L18" s="444" t="s">
        <v>108</v>
      </c>
      <c r="M18" s="444" t="s">
        <v>109</v>
      </c>
      <c r="N18" s="1255" t="s">
        <v>109</v>
      </c>
      <c r="O18" s="1221">
        <f>OFFSET(O18,0,-1)+1</f>
        <v>3</v>
      </c>
      <c r="P18" s="1221">
        <f>OFFSET(P18,0,-1)+1</f>
        <v>4</v>
      </c>
      <c r="Q18" s="1221">
        <f>OFFSET(Q18,0,-1)+1</f>
        <v>5</v>
      </c>
      <c r="R18" s="1221">
        <f>OFFSET(R18,0,-1)+1</f>
        <v>6</v>
      </c>
      <c r="S18" s="1221">
        <f>OFFSET(S18,0,-1)+1</f>
        <v>7</v>
      </c>
      <c r="T18" s="2427">
        <f>OFFSET(T18,0,-1)+1</f>
        <v>8</v>
      </c>
      <c r="U18" s="2427"/>
      <c r="V18" s="1221">
        <f>OFFSET(V18,0,-2)+1</f>
        <v>9</v>
      </c>
      <c r="X18" s="1221">
        <f>OFFSET(X18,0,-2)+1</f>
        <v>10</v>
      </c>
    </row>
    <row customHeight="1" ht="22.5">
      <c r="A19" s="2093">
        <v>1</v>
      </c>
      <c r="B19" s="514"/>
      <c r="C19" s="514"/>
      <c r="D19" s="514"/>
      <c r="E19" s="514"/>
      <c r="F19" s="514"/>
      <c r="G19" s="375"/>
      <c r="H19" s="375"/>
      <c r="I19" s="349"/>
      <c r="J19" s="368"/>
      <c r="K19" s="368"/>
      <c r="L19" s="1228">
        <f>MERGEVALUE(A19)</f>
      </c>
      <c r="M19" s="278" t="s">
        <v>122</v>
      </c>
      <c r="N19" s="297"/>
      <c r="O19" s="2313"/>
      <c r="P19" s="2313"/>
      <c r="Q19" s="2313"/>
      <c r="R19" s="2313"/>
      <c r="S19" s="2313"/>
      <c r="T19" s="2313"/>
      <c r="U19" s="2313"/>
      <c r="V19" s="2313"/>
      <c r="W19" s="2313"/>
      <c r="X19" s="333" t="s">
        <v>403</v>
      </c>
    </row>
    <row customHeight="1" ht="22.5">
      <c r="A20" s="2093"/>
      <c r="B20" s="2093">
        <v>1</v>
      </c>
      <c r="C20" s="514"/>
      <c r="D20" s="514"/>
      <c r="E20" s="514"/>
      <c r="F20" s="514"/>
      <c r="G20" s="377"/>
      <c r="H20" s="1222"/>
      <c r="I20" s="351"/>
      <c r="J20" s="1229"/>
      <c r="K20" s="1150"/>
      <c r="L20" s="1228">
        <f>MERGEVALUE(A20)&amp;"."&amp;MERGEVALUE(B20)</f>
      </c>
      <c r="M20" s="290" t="s">
        <v>404</v>
      </c>
      <c r="N20" s="297"/>
      <c r="O20" s="2313"/>
      <c r="P20" s="2313"/>
      <c r="Q20" s="2313"/>
      <c r="R20" s="2313"/>
      <c r="S20" s="2313"/>
      <c r="T20" s="2313"/>
      <c r="U20" s="2313"/>
      <c r="V20" s="2313"/>
      <c r="W20" s="2313"/>
      <c r="X20" s="333" t="s">
        <v>405</v>
      </c>
    </row>
    <row customHeight="1" ht="22.5">
      <c r="A21" s="2093"/>
      <c r="B21" s="2093"/>
      <c r="C21" s="2093">
        <v>1</v>
      </c>
      <c r="D21" s="514"/>
      <c r="E21" s="514"/>
      <c r="F21" s="514"/>
      <c r="G21" s="377"/>
      <c r="H21" s="1222"/>
      <c r="I21" s="352"/>
      <c r="J21" s="1229"/>
      <c r="K21" s="1150"/>
      <c r="L21" s="1228">
        <f>MERGEVALUE(A21)&amp;"."&amp;MERGEVALUE(B21)&amp;"."&amp;MERGEVALUE(C21)</f>
      </c>
      <c r="M21" s="291" t="s">
        <v>406</v>
      </c>
      <c r="N21" s="297"/>
      <c r="O21" s="2313"/>
      <c r="P21" s="2313"/>
      <c r="Q21" s="2313"/>
      <c r="R21" s="2313"/>
      <c r="S21" s="2313"/>
      <c r="T21" s="2313"/>
      <c r="U21" s="2313"/>
      <c r="V21" s="2313"/>
      <c r="W21" s="2313"/>
      <c r="X21" s="333" t="s">
        <v>407</v>
      </c>
    </row>
    <row customHeight="1" ht="14.25">
      <c r="A22" s="2093"/>
      <c r="B22" s="2093"/>
      <c r="C22" s="2093"/>
      <c r="D22" s="2093">
        <v>1</v>
      </c>
      <c r="E22" s="514"/>
      <c r="F22" s="514"/>
      <c r="G22" s="377"/>
      <c r="H22" s="1222"/>
      <c r="I22" s="352"/>
      <c r="J22" s="350"/>
      <c r="K22" s="1150"/>
      <c r="L22" s="1228">
        <f>MERGEVALUE(A22)&amp;"."&amp;MERGEVALUE(B22)&amp;"."&amp;MERGEVALUE(C22)&amp;"."&amp;MERGEVALUE(D22)</f>
      </c>
      <c r="M22" s="292" t="s">
        <v>408</v>
      </c>
      <c r="N22" s="297"/>
      <c r="O22" s="2313"/>
      <c r="P22" s="2313"/>
      <c r="Q22" s="2313"/>
      <c r="R22" s="2313"/>
      <c r="S22" s="2313"/>
      <c r="T22" s="2313"/>
      <c r="U22" s="2313"/>
      <c r="V22" s="2313"/>
      <c r="W22" s="2313"/>
      <c r="X22" s="325" t="s">
        <v>2162</v>
      </c>
    </row>
    <row customHeight="1" ht="22.5">
      <c r="A23" s="2093"/>
      <c r="B23" s="2093"/>
      <c r="C23" s="2093"/>
      <c r="D23" s="2093"/>
      <c r="E23" s="514">
        <v>1</v>
      </c>
      <c r="F23" s="514"/>
      <c r="G23" s="377"/>
      <c r="H23" s="1222"/>
      <c r="I23" s="352"/>
      <c r="J23" s="350"/>
      <c r="K23" s="447"/>
      <c r="L23" s="1228">
        <f>MERGEVALUE(A23)&amp;"."&amp;MERGEVALUE(B23)&amp;"."&amp;MERGEVALUE(C23)&amp;"."&amp;MERGEVALUE(D23)&amp;"."&amp;MERGEVALUE(E23)</f>
      </c>
      <c r="M23" s="370"/>
      <c r="N23" s="1225"/>
      <c r="O23" s="372"/>
      <c r="P23" s="373"/>
      <c r="Q23" s="285"/>
      <c r="R23" s="285"/>
      <c r="S23" s="1758"/>
      <c r="T23" s="1217" t="s">
        <v>56</v>
      </c>
      <c r="U23" s="1261"/>
      <c r="V23" s="1217" t="s">
        <v>56</v>
      </c>
      <c r="W23" s="1262"/>
      <c r="X23" s="1997" t="s">
        <v>2163</v>
      </c>
      <c r="Y23" s="507">
        <f>STRCHECKDATETWO(N23:W23)</f>
      </c>
    </row>
    <row customHeight="1" ht="14.25" hidden="1">
      <c r="A24" s="2093"/>
      <c r="B24" s="2093"/>
      <c r="C24" s="2093"/>
      <c r="D24" s="2093"/>
      <c r="E24" s="514"/>
      <c r="F24" s="514"/>
      <c r="G24" s="377"/>
      <c r="H24" s="1222"/>
      <c r="I24" s="352"/>
      <c r="J24" s="350"/>
      <c r="K24" s="447"/>
      <c r="L24" s="1227"/>
      <c r="M24" s="293"/>
      <c r="N24" s="280"/>
      <c r="O24" s="280"/>
      <c r="P24" s="280"/>
      <c r="Q24" s="280"/>
      <c r="R24" s="316" t="str">
        <f>S23&amp;"-"&amp;U23</f>
        <v>-</v>
      </c>
      <c r="S24" s="301"/>
      <c r="T24" s="298"/>
      <c r="U24" s="301"/>
      <c r="V24" s="280"/>
      <c r="W24" s="1263"/>
      <c r="X24" s="1998"/>
    </row>
    <row customHeight="1" ht="14.25">
      <c r="A25" s="2093"/>
      <c r="B25" s="2093"/>
      <c r="C25" s="2093"/>
      <c r="D25" s="2093"/>
      <c r="E25" s="514"/>
      <c r="F25" s="514"/>
      <c r="G25" s="377"/>
      <c r="H25" s="1222"/>
      <c r="I25" s="352"/>
      <c r="J25" s="350"/>
      <c r="K25" s="447"/>
      <c r="L25" s="289"/>
      <c r="M25" s="356" t="s">
        <v>474</v>
      </c>
      <c r="N25" s="355"/>
      <c r="O25" s="309"/>
      <c r="P25" s="309"/>
      <c r="Q25" s="309"/>
      <c r="R25" s="309"/>
      <c r="S25" s="313"/>
      <c r="T25" s="359"/>
      <c r="U25" s="358"/>
      <c r="V25" s="355"/>
      <c r="W25" s="355"/>
      <c r="X25" s="1999"/>
    </row>
    <row s="2437" customFormat="1" customHeight="1" ht="14.25">
      <c r="A26" s="2093"/>
      <c r="B26" s="2093"/>
      <c r="C26" s="2093"/>
      <c r="D26" s="376"/>
      <c r="E26" s="376"/>
      <c r="F26" s="376"/>
      <c r="G26" s="377"/>
      <c r="H26" s="376"/>
      <c r="I26" s="352"/>
      <c r="J26" s="367"/>
      <c r="K26" s="369"/>
      <c r="L26" s="289"/>
      <c r="M26" s="364" t="s">
        <v>585</v>
      </c>
      <c r="N26" s="355"/>
      <c r="O26" s="309"/>
      <c r="P26" s="309"/>
      <c r="Q26" s="309"/>
      <c r="R26" s="309"/>
      <c r="S26" s="313"/>
      <c r="T26" s="359"/>
      <c r="U26" s="358"/>
      <c r="V26" s="355"/>
      <c r="W26" s="359"/>
      <c r="X26" s="1264"/>
      <c r="Y26" s="374"/>
      <c r="Z26" s="374"/>
      <c r="AA26" s="374"/>
      <c r="AB26" s="374"/>
      <c r="AC26" s="374"/>
    </row>
    <row s="2437" customFormat="1" customHeight="1" ht="14.25">
      <c r="A27" s="2093"/>
      <c r="B27" s="2093"/>
      <c r="C27" s="376"/>
      <c r="D27" s="376"/>
      <c r="E27" s="376"/>
      <c r="F27" s="376"/>
      <c r="G27" s="377"/>
      <c r="H27" s="376"/>
      <c r="I27" s="348"/>
      <c r="J27" s="367"/>
      <c r="K27" s="369"/>
      <c r="L27" s="289"/>
      <c r="M27" s="355" t="s">
        <v>2141</v>
      </c>
      <c r="N27" s="355"/>
      <c r="O27" s="309"/>
      <c r="P27" s="309"/>
      <c r="Q27" s="309"/>
      <c r="R27" s="309"/>
      <c r="S27" s="313"/>
      <c r="T27" s="359"/>
      <c r="U27" s="358"/>
      <c r="V27" s="355"/>
      <c r="W27" s="359"/>
      <c r="X27" s="311"/>
      <c r="Y27" s="374"/>
      <c r="Z27" s="374"/>
      <c r="AA27" s="374"/>
      <c r="AB27" s="374"/>
      <c r="AC27" s="374"/>
    </row>
    <row s="2437" customFormat="1" customHeight="1" ht="14.25">
      <c r="A28" s="2093"/>
      <c r="B28" s="376"/>
      <c r="C28" s="376"/>
      <c r="D28" s="376"/>
      <c r="E28" s="376"/>
      <c r="F28" s="376"/>
      <c r="G28" s="377"/>
      <c r="H28" s="376"/>
      <c r="I28" s="348"/>
      <c r="J28" s="367"/>
      <c r="K28" s="369"/>
      <c r="L28" s="289"/>
      <c r="M28" s="412" t="s">
        <v>103</v>
      </c>
      <c r="N28" s="355"/>
      <c r="O28" s="309"/>
      <c r="P28" s="309"/>
      <c r="Q28" s="309"/>
      <c r="R28" s="309"/>
      <c r="S28" s="313"/>
      <c r="T28" s="359"/>
      <c r="U28" s="358"/>
      <c r="V28" s="355"/>
      <c r="W28" s="359"/>
      <c r="X28" s="311"/>
      <c r="Y28" s="374"/>
      <c r="Z28" s="374"/>
      <c r="AA28" s="374"/>
      <c r="AB28" s="374"/>
      <c r="AC28" s="374"/>
    </row>
    <row s="2437" customFormat="1" customHeight="1" ht="14.25">
      <c r="G29" s="357"/>
      <c r="H29" s="369"/>
      <c r="I29" s="366"/>
      <c r="J29" s="367"/>
      <c r="L29" s="289"/>
      <c r="M29" s="413" t="s">
        <v>180</v>
      </c>
      <c r="N29" s="355"/>
      <c r="O29" s="309"/>
      <c r="P29" s="309"/>
      <c r="Q29" s="309"/>
      <c r="R29" s="309"/>
      <c r="S29" s="313"/>
      <c r="T29" s="359"/>
      <c r="U29" s="358"/>
      <c r="V29" s="355"/>
      <c r="W29" s="359"/>
      <c r="X29" s="311"/>
      <c r="Y29" s="374"/>
      <c r="Z29" s="374"/>
      <c r="AA29" s="374"/>
      <c r="AB29" s="374"/>
      <c r="AC29" s="374"/>
    </row>
    <row r="31" customHeight="1" ht="14.25">
      <c r="L31" s="47">
        <v>1</v>
      </c>
      <c r="M31" s="2088" t="s">
        <v>2164</v>
      </c>
      <c r="N31" s="2088"/>
      <c r="O31" s="2088"/>
      <c r="P31" s="2088"/>
      <c r="Q31" s="2088"/>
      <c r="R31" s="2088"/>
      <c r="S31" s="2088"/>
      <c r="T31" s="2088"/>
      <c r="U31" s="2088"/>
      <c r="V31" s="2088"/>
      <c r="W31" s="2088"/>
      <c r="X31" s="2088"/>
      <c r="Y31" s="1265"/>
      <c r="Z31" s="361"/>
      <c r="AA31" s="361"/>
      <c r="AB31" s="361"/>
      <c r="AC31" s="361"/>
    </row>
    <row customHeight="1" ht="14.25">
      <c r="M32" s="1266"/>
      <c r="N32" s="1266"/>
      <c r="O32" s="1266"/>
      <c r="P32" s="1266"/>
      <c r="Q32" s="1266"/>
      <c r="R32" s="1266"/>
      <c r="S32" s="1266"/>
      <c r="T32" s="1266"/>
      <c r="U32" s="1266"/>
      <c r="V32" s="1266"/>
      <c r="W32" s="1266"/>
      <c r="X32" s="1266"/>
      <c r="Y32" s="506"/>
      <c r="Z32" s="506"/>
      <c r="AA32" s="506"/>
      <c r="AB32" s="506"/>
      <c r="AC32" s="50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80EF09-9925-7F5E-C4F4-6F002DF16FC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3A153C-7EC7-86B2-C047-8BEE5D2115D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B7D125-28D2-DD88-F26F-4FCB5E2B858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588584-5DF1-E51E-CDFA-BC28D2677A0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3A24C4-47FC-6A33-E30F-EFF7031F64E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AF7662-DE3C-A85D-7711-A5069EEE1F9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6B6843-DA59-14DE-C008-07EEF4A2152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294CDB-D492-A1A3-9B3D-C3CA157F9E2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036938-9E7F-D8B2-6EBF-790DFD9122FE}"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48" t="s">
        <v>2165</v>
      </c>
      <c r="B1" s="759" t="s">
        <v>2166</v>
      </c>
      <c r="C1" s="2434" t="s">
        <v>2167</v>
      </c>
      <c r="D1" s="2435"/>
      <c r="E1" s="830" t="s">
        <v>2168</v>
      </c>
    </row>
    <row customHeight="1" ht="11.25">
      <c r="A2" s="752"/>
      <c r="B2" s="760" t="s">
        <v>22</v>
      </c>
      <c r="C2" s="748"/>
      <c r="D2" s="759"/>
      <c r="E2" s="830"/>
    </row>
    <row customHeight="1" ht="11.25">
      <c r="A3" s="763"/>
      <c r="B3" s="761" t="s">
        <v>29</v>
      </c>
      <c r="C3" s="748"/>
      <c r="D3" s="759"/>
      <c r="E3" s="830"/>
    </row>
    <row customHeight="1" ht="11.25">
      <c r="A4" s="764"/>
      <c r="B4" s="761" t="s">
        <v>1661</v>
      </c>
      <c r="C4" s="748"/>
      <c r="D4" s="759"/>
      <c r="E4" s="830"/>
    </row>
    <row customHeight="1" ht="11.25">
      <c r="A5" s="775"/>
      <c r="B5" s="761" t="s">
        <v>1655</v>
      </c>
      <c r="C5" s="751" t="s">
        <v>1904</v>
      </c>
      <c r="D5" s="874" t="s">
        <v>2169</v>
      </c>
      <c r="E5" s="830"/>
    </row>
    <row s="2437" customFormat="1" customHeight="1" ht="11.25">
      <c r="A6" s="762"/>
      <c r="B6" s="761" t="s">
        <v>1665</v>
      </c>
      <c r="C6" s="748"/>
      <c r="D6" s="759"/>
      <c r="E6" s="830"/>
    </row>
    <row customHeight="1" ht="11.25">
      <c r="A7" s="750"/>
      <c r="B7" s="761" t="s">
        <v>1673</v>
      </c>
      <c r="C7" s="748"/>
      <c r="D7" s="759"/>
      <c r="E7" s="830"/>
    </row>
    <row customHeight="1" ht="11.25">
      <c r="A8" s="751"/>
      <c r="B8" s="761" t="s">
        <v>1668</v>
      </c>
      <c r="C8" s="748"/>
      <c r="D8" s="759"/>
      <c r="E8" s="830"/>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5BD892-43B9-AD6D-91D6-47547A4A400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3B6387-0371-4035-9445-41F1ADD30E7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8BA873-F0CF-C7A8-678A-ABFA7EF0CE77}" mc:Ignorable="x14ac xr xr2 xr3">
  <sheetPr>
    <tabColor rgb="FFFFCC99"/>
  </sheetPr>
  <dimension ref="A1:I301"/>
  <sheetViews>
    <sheetView topLeftCell="A1" showGridLines="0" workbookViewId="0">
      <selection activeCell="A1" sqref="A1"/>
    </sheetView>
  </sheetViews>
  <sheetFormatPr defaultColWidth="9.140625" customHeight="1" defaultRowHeight="11.25"/>
  <cols>
    <col min="1" max="2" style="2437" width="9.140625"/>
    <col min="3" max="3" style="2437" width="20.7109375" customWidth="1"/>
    <col min="4" max="4" style="2437" width="25.140625" customWidth="1"/>
    <col min="5" max="9" style="2437" width="9.140625"/>
  </cols>
  <sheetData>
    <row customHeight="1" ht="11.25">
      <c r="A1" s="0" t="s">
        <v>2170</v>
      </c>
      <c r="B1" s="0" t="s">
        <v>2171</v>
      </c>
      <c r="C1" s="0" t="s">
        <v>2172</v>
      </c>
      <c r="D1" s="0" t="s">
        <v>2173</v>
      </c>
      <c r="E1" s="0" t="s">
        <v>2174</v>
      </c>
      <c r="F1" s="0" t="s">
        <v>2175</v>
      </c>
      <c r="G1" s="0" t="s">
        <v>2176</v>
      </c>
      <c r="H1" s="0" t="s">
        <v>2177</v>
      </c>
      <c r="I1" s="0" t="s">
        <v>2178</v>
      </c>
    </row>
    <row customHeight="1" ht="11.25">
      <c r="A2" s="2437" t="s">
        <v>2179</v>
      </c>
      <c r="B2" s="2437" t="s">
        <v>14</v>
      </c>
      <c r="C2" s="2437" t="s">
        <v>2180</v>
      </c>
      <c r="D2" s="2437" t="s">
        <v>2181</v>
      </c>
      <c r="E2" s="2437" t="s">
        <v>2182</v>
      </c>
      <c r="F2" s="2437" t="s">
        <v>2183</v>
      </c>
      <c r="G2" s="2437" t="s">
        <v>24</v>
      </c>
      <c r="H2" s="2437" t="s">
        <v>24</v>
      </c>
      <c r="I2" s="2437" t="s">
        <v>721</v>
      </c>
    </row>
    <row customHeight="1" ht="11.25">
      <c r="A3" s="2437" t="s">
        <v>2179</v>
      </c>
      <c r="B3" s="2437" t="s">
        <v>14</v>
      </c>
      <c r="C3" s="2437" t="s">
        <v>2184</v>
      </c>
      <c r="D3" s="2437" t="s">
        <v>2185</v>
      </c>
      <c r="E3" s="2437" t="s">
        <v>2186</v>
      </c>
      <c r="F3" s="2437" t="s">
        <v>2187</v>
      </c>
      <c r="G3" s="2437" t="s">
        <v>24</v>
      </c>
      <c r="H3" s="2437" t="s">
        <v>24</v>
      </c>
      <c r="I3" s="2437" t="s">
        <v>721</v>
      </c>
    </row>
    <row customHeight="1" ht="11.25">
      <c r="A4" s="2437" t="s">
        <v>2179</v>
      </c>
      <c r="B4" s="2437" t="s">
        <v>14</v>
      </c>
      <c r="C4" s="2437" t="s">
        <v>2188</v>
      </c>
      <c r="D4" s="2437" t="s">
        <v>2189</v>
      </c>
      <c r="E4" s="2437" t="s">
        <v>2190</v>
      </c>
      <c r="F4" s="2437" t="s">
        <v>2191</v>
      </c>
      <c r="G4" s="2437" t="s">
        <v>24</v>
      </c>
      <c r="H4" s="2437" t="s">
        <v>24</v>
      </c>
      <c r="I4" s="2437" t="s">
        <v>721</v>
      </c>
    </row>
    <row customHeight="1" ht="11.25">
      <c r="A5" s="2437" t="s">
        <v>2179</v>
      </c>
      <c r="B5" s="2437" t="s">
        <v>14</v>
      </c>
      <c r="C5" s="2437" t="s">
        <v>2192</v>
      </c>
      <c r="D5" s="2437" t="s">
        <v>2193</v>
      </c>
      <c r="E5" s="2437" t="s">
        <v>2194</v>
      </c>
      <c r="F5" s="2437" t="s">
        <v>2195</v>
      </c>
      <c r="G5" s="2437" t="s">
        <v>24</v>
      </c>
      <c r="H5" s="2437" t="s">
        <v>24</v>
      </c>
      <c r="I5" s="2437" t="s">
        <v>721</v>
      </c>
    </row>
    <row customHeight="1" ht="11.25">
      <c r="A6" s="2437" t="s">
        <v>2179</v>
      </c>
      <c r="B6" s="2437" t="s">
        <v>14</v>
      </c>
      <c r="C6" s="2437" t="s">
        <v>2196</v>
      </c>
      <c r="D6" s="2437" t="s">
        <v>2197</v>
      </c>
      <c r="E6" s="2437" t="s">
        <v>2198</v>
      </c>
      <c r="F6" s="2437" t="s">
        <v>2199</v>
      </c>
      <c r="G6" s="2437" t="s">
        <v>24</v>
      </c>
      <c r="H6" s="2437" t="s">
        <v>24</v>
      </c>
      <c r="I6" s="2437" t="s">
        <v>721</v>
      </c>
    </row>
    <row customHeight="1" ht="11.25">
      <c r="A7" s="2437" t="s">
        <v>2179</v>
      </c>
      <c r="B7" s="2437" t="s">
        <v>14</v>
      </c>
      <c r="C7" s="2437" t="s">
        <v>2200</v>
      </c>
      <c r="D7" s="2437" t="s">
        <v>2201</v>
      </c>
      <c r="E7" s="2437" t="s">
        <v>2202</v>
      </c>
      <c r="F7" s="2437" t="s">
        <v>2191</v>
      </c>
      <c r="G7" s="2437" t="s">
        <v>24</v>
      </c>
      <c r="H7" s="2437" t="s">
        <v>2203</v>
      </c>
      <c r="I7" s="2437" t="s">
        <v>721</v>
      </c>
    </row>
    <row customHeight="1" ht="11.25">
      <c r="A8" s="2437" t="s">
        <v>2179</v>
      </c>
      <c r="B8" s="2437" t="s">
        <v>14</v>
      </c>
      <c r="C8" s="2437" t="s">
        <v>2204</v>
      </c>
      <c r="D8" s="2437" t="s">
        <v>2205</v>
      </c>
      <c r="E8" s="2437" t="s">
        <v>2206</v>
      </c>
      <c r="F8" s="2437" t="s">
        <v>2199</v>
      </c>
      <c r="G8" s="2437" t="s">
        <v>24</v>
      </c>
      <c r="H8" s="2437" t="s">
        <v>24</v>
      </c>
      <c r="I8" s="2437" t="s">
        <v>721</v>
      </c>
    </row>
    <row customHeight="1" ht="11.25">
      <c r="A9" s="2437" t="s">
        <v>2179</v>
      </c>
      <c r="B9" s="2437" t="s">
        <v>14</v>
      </c>
      <c r="C9" s="2437" t="s">
        <v>2207</v>
      </c>
      <c r="D9" s="2437" t="s">
        <v>2208</v>
      </c>
      <c r="E9" s="2437" t="s">
        <v>2209</v>
      </c>
      <c r="F9" s="2437" t="s">
        <v>2210</v>
      </c>
      <c r="G9" s="2437" t="s">
        <v>24</v>
      </c>
      <c r="H9" s="2437" t="s">
        <v>24</v>
      </c>
      <c r="I9" s="2437" t="s">
        <v>721</v>
      </c>
    </row>
    <row customHeight="1" ht="11.25">
      <c r="A10" s="2437" t="s">
        <v>2179</v>
      </c>
      <c r="B10" s="2437" t="s">
        <v>14</v>
      </c>
      <c r="C10" s="2437" t="s">
        <v>2211</v>
      </c>
      <c r="D10" s="2437" t="s">
        <v>2212</v>
      </c>
      <c r="E10" s="2437" t="s">
        <v>2213</v>
      </c>
      <c r="F10" s="2437" t="s">
        <v>2214</v>
      </c>
      <c r="G10" s="2437" t="s">
        <v>24</v>
      </c>
      <c r="H10" s="2437" t="s">
        <v>24</v>
      </c>
      <c r="I10" s="2437" t="s">
        <v>721</v>
      </c>
    </row>
    <row customHeight="1" ht="11.25">
      <c r="A11" s="2437" t="s">
        <v>2179</v>
      </c>
      <c r="B11" s="2437" t="s">
        <v>14</v>
      </c>
      <c r="C11" s="2437" t="s">
        <v>2215</v>
      </c>
      <c r="D11" s="2437" t="s">
        <v>2216</v>
      </c>
      <c r="E11" s="2437" t="s">
        <v>2217</v>
      </c>
      <c r="F11" s="2437" t="s">
        <v>2218</v>
      </c>
      <c r="G11" s="2437" t="s">
        <v>2219</v>
      </c>
      <c r="H11" s="2437" t="s">
        <v>24</v>
      </c>
      <c r="I11" s="2437" t="s">
        <v>721</v>
      </c>
    </row>
    <row customHeight="1" ht="11.25">
      <c r="A12" s="2437" t="s">
        <v>2179</v>
      </c>
      <c r="B12" s="2437" t="s">
        <v>14</v>
      </c>
      <c r="C12" s="2437" t="s">
        <v>2220</v>
      </c>
      <c r="D12" s="2437" t="s">
        <v>2216</v>
      </c>
      <c r="E12" s="2437" t="s">
        <v>2217</v>
      </c>
      <c r="F12" s="2437" t="s">
        <v>2221</v>
      </c>
      <c r="G12" s="2437" t="s">
        <v>24</v>
      </c>
      <c r="H12" s="2437" t="s">
        <v>24</v>
      </c>
      <c r="I12" s="2437" t="s">
        <v>721</v>
      </c>
    </row>
    <row customHeight="1" ht="11.25">
      <c r="A13" s="2437" t="s">
        <v>2179</v>
      </c>
      <c r="B13" s="2437" t="s">
        <v>14</v>
      </c>
      <c r="C13" s="2437" t="s">
        <v>2222</v>
      </c>
      <c r="D13" s="2437" t="s">
        <v>2223</v>
      </c>
      <c r="E13" s="2437" t="s">
        <v>2224</v>
      </c>
      <c r="F13" s="2437" t="s">
        <v>50</v>
      </c>
      <c r="G13" s="2437" t="s">
        <v>24</v>
      </c>
      <c r="H13" s="2437" t="s">
        <v>24</v>
      </c>
      <c r="I13" s="2437" t="s">
        <v>721</v>
      </c>
    </row>
    <row customHeight="1" ht="11.25">
      <c r="A14" s="2437" t="s">
        <v>2179</v>
      </c>
      <c r="B14" s="2437" t="s">
        <v>14</v>
      </c>
      <c r="C14" s="2437" t="s">
        <v>2225</v>
      </c>
      <c r="D14" s="2437" t="s">
        <v>2226</v>
      </c>
      <c r="E14" s="2437" t="s">
        <v>2227</v>
      </c>
      <c r="F14" s="2437" t="s">
        <v>2195</v>
      </c>
      <c r="G14" s="2437" t="s">
        <v>24</v>
      </c>
      <c r="H14" s="2437" t="s">
        <v>24</v>
      </c>
      <c r="I14" s="2437" t="s">
        <v>721</v>
      </c>
    </row>
    <row customHeight="1" ht="11.25">
      <c r="A15" s="2437" t="s">
        <v>2179</v>
      </c>
      <c r="B15" s="2437" t="s">
        <v>14</v>
      </c>
      <c r="C15" s="2437" t="s">
        <v>2228</v>
      </c>
      <c r="D15" s="2437" t="s">
        <v>2229</v>
      </c>
      <c r="E15" s="2437" t="s">
        <v>2230</v>
      </c>
      <c r="F15" s="2437" t="s">
        <v>2195</v>
      </c>
      <c r="G15" s="2437" t="s">
        <v>2231</v>
      </c>
      <c r="H15" s="2437" t="s">
        <v>24</v>
      </c>
      <c r="I15" s="2437" t="s">
        <v>721</v>
      </c>
    </row>
    <row customHeight="1" ht="11.25">
      <c r="A16" s="2437" t="s">
        <v>2179</v>
      </c>
      <c r="B16" s="2437" t="s">
        <v>14</v>
      </c>
      <c r="C16" s="2437" t="s">
        <v>2232</v>
      </c>
      <c r="D16" s="2437" t="s">
        <v>2233</v>
      </c>
      <c r="E16" s="2437" t="s">
        <v>2234</v>
      </c>
      <c r="F16" s="2437" t="s">
        <v>2187</v>
      </c>
      <c r="G16" s="2437" t="s">
        <v>24</v>
      </c>
      <c r="H16" s="2437" t="s">
        <v>24</v>
      </c>
      <c r="I16" s="2437" t="s">
        <v>721</v>
      </c>
    </row>
    <row customHeight="1" ht="11.25">
      <c r="A17" s="2437" t="s">
        <v>2179</v>
      </c>
      <c r="B17" s="2437" t="s">
        <v>14</v>
      </c>
      <c r="C17" s="2437" t="s">
        <v>2235</v>
      </c>
      <c r="D17" s="2437" t="s">
        <v>2236</v>
      </c>
      <c r="E17" s="2437" t="s">
        <v>2237</v>
      </c>
      <c r="F17" s="2437" t="s">
        <v>2199</v>
      </c>
      <c r="G17" s="2437" t="s">
        <v>24</v>
      </c>
      <c r="H17" s="2437" t="s">
        <v>24</v>
      </c>
      <c r="I17" s="2437" t="s">
        <v>721</v>
      </c>
    </row>
    <row customHeight="1" ht="11.25">
      <c r="A18" s="2437" t="s">
        <v>2179</v>
      </c>
      <c r="B18" s="2437" t="s">
        <v>14</v>
      </c>
      <c r="C18" s="2437" t="s">
        <v>2238</v>
      </c>
      <c r="D18" s="2437" t="s">
        <v>2239</v>
      </c>
      <c r="E18" s="2437" t="s">
        <v>2240</v>
      </c>
      <c r="F18" s="2437" t="s">
        <v>2187</v>
      </c>
      <c r="G18" s="2437" t="s">
        <v>24</v>
      </c>
      <c r="H18" s="2437" t="s">
        <v>24</v>
      </c>
      <c r="I18" s="2437" t="s">
        <v>721</v>
      </c>
    </row>
    <row customHeight="1" ht="11.25">
      <c r="A19" s="2437" t="s">
        <v>2179</v>
      </c>
      <c r="B19" s="2437" t="s">
        <v>14</v>
      </c>
      <c r="C19" s="2437" t="s">
        <v>2241</v>
      </c>
      <c r="D19" s="2437" t="s">
        <v>2242</v>
      </c>
      <c r="E19" s="2437" t="s">
        <v>2243</v>
      </c>
      <c r="F19" s="2437" t="s">
        <v>2183</v>
      </c>
      <c r="G19" s="2437" t="s">
        <v>24</v>
      </c>
      <c r="H19" s="2437" t="s">
        <v>24</v>
      </c>
      <c r="I19" s="2437" t="s">
        <v>721</v>
      </c>
    </row>
    <row customHeight="1" ht="11.25">
      <c r="A20" s="2437" t="s">
        <v>2179</v>
      </c>
      <c r="B20" s="2437" t="s">
        <v>14</v>
      </c>
      <c r="C20" s="2437" t="s">
        <v>2244</v>
      </c>
      <c r="D20" s="2437" t="s">
        <v>2245</v>
      </c>
      <c r="E20" s="2437" t="s">
        <v>2246</v>
      </c>
      <c r="F20" s="2437" t="s">
        <v>2247</v>
      </c>
      <c r="G20" s="2437" t="s">
        <v>24</v>
      </c>
      <c r="H20" s="2437" t="s">
        <v>24</v>
      </c>
      <c r="I20" s="2437" t="s">
        <v>721</v>
      </c>
    </row>
    <row customHeight="1" ht="11.25">
      <c r="A21" s="2437" t="s">
        <v>2179</v>
      </c>
      <c r="B21" s="2437" t="s">
        <v>14</v>
      </c>
      <c r="C21" s="2437" t="s">
        <v>2248</v>
      </c>
      <c r="D21" s="2437" t="s">
        <v>2249</v>
      </c>
      <c r="E21" s="2437" t="s">
        <v>2250</v>
      </c>
      <c r="F21" s="2437" t="s">
        <v>2251</v>
      </c>
      <c r="G21" s="2437" t="s">
        <v>24</v>
      </c>
      <c r="H21" s="2437" t="s">
        <v>24</v>
      </c>
      <c r="I21" s="2437" t="s">
        <v>721</v>
      </c>
    </row>
    <row customHeight="1" ht="11.25">
      <c r="A22" s="2437" t="s">
        <v>2179</v>
      </c>
      <c r="B22" s="2437" t="s">
        <v>14</v>
      </c>
      <c r="C22" s="2437" t="s">
        <v>2252</v>
      </c>
      <c r="D22" s="2437" t="s">
        <v>2253</v>
      </c>
      <c r="E22" s="2437" t="s">
        <v>2254</v>
      </c>
      <c r="F22" s="2437" t="s">
        <v>2191</v>
      </c>
      <c r="G22" s="2437" t="s">
        <v>24</v>
      </c>
      <c r="H22" s="2437" t="s">
        <v>24</v>
      </c>
      <c r="I22" s="2437" t="s">
        <v>721</v>
      </c>
    </row>
    <row customHeight="1" ht="11.25">
      <c r="A23" s="2437" t="s">
        <v>2179</v>
      </c>
      <c r="B23" s="2437" t="s">
        <v>14</v>
      </c>
      <c r="C23" s="2437" t="s">
        <v>2255</v>
      </c>
      <c r="D23" s="2437" t="s">
        <v>2256</v>
      </c>
      <c r="E23" s="2437" t="s">
        <v>2257</v>
      </c>
      <c r="F23" s="2437" t="s">
        <v>2191</v>
      </c>
      <c r="G23" s="2437" t="s">
        <v>24</v>
      </c>
      <c r="H23" s="2437" t="s">
        <v>24</v>
      </c>
      <c r="I23" s="2437" t="s">
        <v>721</v>
      </c>
    </row>
    <row customHeight="1" ht="11.25">
      <c r="A24" s="2437" t="s">
        <v>2179</v>
      </c>
      <c r="B24" s="2437" t="s">
        <v>14</v>
      </c>
      <c r="C24" s="2437" t="s">
        <v>2258</v>
      </c>
      <c r="D24" s="2437" t="s">
        <v>2259</v>
      </c>
      <c r="E24" s="2437" t="s">
        <v>2260</v>
      </c>
      <c r="F24" s="2437" t="s">
        <v>2261</v>
      </c>
      <c r="G24" s="2437" t="s">
        <v>24</v>
      </c>
      <c r="H24" s="2437" t="s">
        <v>24</v>
      </c>
      <c r="I24" s="2437" t="s">
        <v>721</v>
      </c>
    </row>
    <row customHeight="1" ht="11.25">
      <c r="A25" s="2437" t="s">
        <v>2179</v>
      </c>
      <c r="B25" s="2437" t="s">
        <v>14</v>
      </c>
      <c r="C25" s="2437" t="s">
        <v>2262</v>
      </c>
      <c r="D25" s="2437" t="s">
        <v>2263</v>
      </c>
      <c r="E25" s="2437" t="s">
        <v>2264</v>
      </c>
      <c r="F25" s="2437" t="s">
        <v>2265</v>
      </c>
      <c r="G25" s="2437" t="s">
        <v>24</v>
      </c>
      <c r="H25" s="2437" t="s">
        <v>24</v>
      </c>
      <c r="I25" s="2437" t="s">
        <v>721</v>
      </c>
    </row>
    <row customHeight="1" ht="11.25">
      <c r="A26" s="2437" t="s">
        <v>2179</v>
      </c>
      <c r="B26" s="2437" t="s">
        <v>14</v>
      </c>
      <c r="C26" s="2437" t="s">
        <v>2266</v>
      </c>
      <c r="D26" s="2437" t="s">
        <v>2267</v>
      </c>
      <c r="E26" s="2437" t="s">
        <v>2268</v>
      </c>
      <c r="F26" s="2437" t="s">
        <v>2183</v>
      </c>
      <c r="G26" s="2437" t="s">
        <v>24</v>
      </c>
      <c r="H26" s="2437" t="s">
        <v>24</v>
      </c>
      <c r="I26" s="2437" t="s">
        <v>721</v>
      </c>
    </row>
    <row customHeight="1" ht="11.25">
      <c r="A27" s="2437" t="s">
        <v>2179</v>
      </c>
      <c r="B27" s="2437" t="s">
        <v>14</v>
      </c>
      <c r="C27" s="2437" t="s">
        <v>2269</v>
      </c>
      <c r="D27" s="2437" t="s">
        <v>2270</v>
      </c>
      <c r="E27" s="2437" t="s">
        <v>2271</v>
      </c>
      <c r="F27" s="2437" t="s">
        <v>2187</v>
      </c>
      <c r="G27" s="2437" t="s">
        <v>24</v>
      </c>
      <c r="H27" s="2437" t="s">
        <v>24</v>
      </c>
      <c r="I27" s="2437" t="s">
        <v>721</v>
      </c>
    </row>
    <row customHeight="1" ht="11.25">
      <c r="A28" s="2437" t="s">
        <v>2179</v>
      </c>
      <c r="B28" s="2437" t="s">
        <v>14</v>
      </c>
      <c r="C28" s="2437" t="s">
        <v>2272</v>
      </c>
      <c r="D28" s="2437" t="s">
        <v>2273</v>
      </c>
      <c r="E28" s="2437" t="s">
        <v>2274</v>
      </c>
      <c r="F28" s="2437" t="s">
        <v>2183</v>
      </c>
      <c r="G28" s="2437" t="s">
        <v>24</v>
      </c>
      <c r="H28" s="2437" t="s">
        <v>24</v>
      </c>
      <c r="I28" s="2437" t="s">
        <v>721</v>
      </c>
    </row>
    <row customHeight="1" ht="11.25">
      <c r="A29" s="2437" t="s">
        <v>2179</v>
      </c>
      <c r="B29" s="2437" t="s">
        <v>14</v>
      </c>
      <c r="C29" s="2437" t="s">
        <v>2275</v>
      </c>
      <c r="D29" s="2437" t="s">
        <v>2276</v>
      </c>
      <c r="E29" s="2437" t="s">
        <v>2277</v>
      </c>
      <c r="F29" s="2437" t="s">
        <v>2191</v>
      </c>
      <c r="G29" s="2437" t="s">
        <v>2278</v>
      </c>
      <c r="H29" s="2437" t="s">
        <v>24</v>
      </c>
      <c r="I29" s="2437" t="s">
        <v>721</v>
      </c>
    </row>
    <row customHeight="1" ht="11.25">
      <c r="A30" s="2437" t="s">
        <v>2179</v>
      </c>
      <c r="B30" s="2437" t="s">
        <v>14</v>
      </c>
      <c r="C30" s="2437" t="s">
        <v>2279</v>
      </c>
      <c r="D30" s="2437" t="s">
        <v>2280</v>
      </c>
      <c r="E30" s="2437" t="s">
        <v>2281</v>
      </c>
      <c r="F30" s="2437" t="s">
        <v>2282</v>
      </c>
      <c r="G30" s="2437" t="s">
        <v>24</v>
      </c>
      <c r="H30" s="2437" t="s">
        <v>24</v>
      </c>
      <c r="I30" s="2437" t="s">
        <v>721</v>
      </c>
    </row>
    <row customHeight="1" ht="11.25">
      <c r="A31" s="2437" t="s">
        <v>2179</v>
      </c>
      <c r="B31" s="2437" t="s">
        <v>14</v>
      </c>
      <c r="C31" s="2437" t="s">
        <v>2283</v>
      </c>
      <c r="D31" s="2437" t="s">
        <v>2284</v>
      </c>
      <c r="E31" s="2437" t="s">
        <v>2285</v>
      </c>
      <c r="F31" s="2437" t="s">
        <v>2286</v>
      </c>
      <c r="G31" s="2437" t="s">
        <v>24</v>
      </c>
      <c r="H31" s="2437" t="s">
        <v>24</v>
      </c>
      <c r="I31" s="2437" t="s">
        <v>721</v>
      </c>
    </row>
    <row customHeight="1" ht="11.25">
      <c r="A32" s="2437" t="s">
        <v>2179</v>
      </c>
      <c r="B32" s="2437" t="s">
        <v>14</v>
      </c>
      <c r="C32" s="2437" t="s">
        <v>2287</v>
      </c>
      <c r="D32" s="2437" t="s">
        <v>2288</v>
      </c>
      <c r="E32" s="2437" t="s">
        <v>2289</v>
      </c>
      <c r="F32" s="2437" t="s">
        <v>2290</v>
      </c>
      <c r="G32" s="2437" t="s">
        <v>24</v>
      </c>
      <c r="H32" s="2437" t="s">
        <v>24</v>
      </c>
      <c r="I32" s="2437" t="s">
        <v>721</v>
      </c>
    </row>
    <row customHeight="1" ht="11.25">
      <c r="A33" s="2437" t="s">
        <v>2179</v>
      </c>
      <c r="B33" s="2437" t="s">
        <v>14</v>
      </c>
      <c r="C33" s="2437" t="s">
        <v>2291</v>
      </c>
      <c r="D33" s="2437" t="s">
        <v>2292</v>
      </c>
      <c r="E33" s="2437" t="s">
        <v>2293</v>
      </c>
      <c r="F33" s="2437" t="s">
        <v>2214</v>
      </c>
      <c r="G33" s="2437" t="s">
        <v>24</v>
      </c>
      <c r="H33" s="2437" t="s">
        <v>24</v>
      </c>
      <c r="I33" s="2437" t="s">
        <v>721</v>
      </c>
    </row>
    <row customHeight="1" ht="11.25">
      <c r="A34" s="2437" t="s">
        <v>2179</v>
      </c>
      <c r="B34" s="2437" t="s">
        <v>14</v>
      </c>
      <c r="C34" s="2437" t="s">
        <v>2294</v>
      </c>
      <c r="D34" s="2437" t="s">
        <v>2295</v>
      </c>
      <c r="E34" s="2437" t="s">
        <v>2296</v>
      </c>
      <c r="F34" s="2437" t="s">
        <v>2297</v>
      </c>
      <c r="G34" s="2437" t="s">
        <v>24</v>
      </c>
      <c r="H34" s="2437" t="s">
        <v>24</v>
      </c>
      <c r="I34" s="2437" t="s">
        <v>721</v>
      </c>
    </row>
    <row customHeight="1" ht="11.25">
      <c r="A35" s="2437" t="s">
        <v>2179</v>
      </c>
      <c r="B35" s="2437" t="s">
        <v>14</v>
      </c>
      <c r="C35" s="2437" t="s">
        <v>2298</v>
      </c>
      <c r="D35" s="2437" t="s">
        <v>2299</v>
      </c>
      <c r="E35" s="2437" t="s">
        <v>2300</v>
      </c>
      <c r="F35" s="2437" t="s">
        <v>2199</v>
      </c>
      <c r="G35" s="2437" t="s">
        <v>24</v>
      </c>
      <c r="H35" s="2437" t="s">
        <v>24</v>
      </c>
      <c r="I35" s="2437" t="s">
        <v>721</v>
      </c>
    </row>
    <row customHeight="1" ht="11.25">
      <c r="A36" s="2437" t="s">
        <v>2179</v>
      </c>
      <c r="B36" s="2437" t="s">
        <v>14</v>
      </c>
      <c r="C36" s="2437" t="s">
        <v>2301</v>
      </c>
      <c r="D36" s="2437" t="s">
        <v>2302</v>
      </c>
      <c r="E36" s="2437" t="s">
        <v>2303</v>
      </c>
      <c r="F36" s="2437" t="s">
        <v>2191</v>
      </c>
      <c r="G36" s="2437" t="s">
        <v>24</v>
      </c>
      <c r="H36" s="2437" t="s">
        <v>24</v>
      </c>
      <c r="I36" s="2437" t="s">
        <v>721</v>
      </c>
    </row>
    <row customHeight="1" ht="11.25">
      <c r="A37" s="2437" t="s">
        <v>2179</v>
      </c>
      <c r="B37" s="2437" t="s">
        <v>14</v>
      </c>
      <c r="C37" s="2437" t="s">
        <v>2304</v>
      </c>
      <c r="D37" s="2437" t="s">
        <v>2305</v>
      </c>
      <c r="E37" s="2437" t="s">
        <v>2306</v>
      </c>
      <c r="F37" s="2437" t="s">
        <v>2247</v>
      </c>
      <c r="G37" s="2437" t="s">
        <v>24</v>
      </c>
      <c r="H37" s="2437" t="s">
        <v>24</v>
      </c>
      <c r="I37" s="2437" t="s">
        <v>721</v>
      </c>
    </row>
    <row customHeight="1" ht="11.25">
      <c r="A38" s="2437" t="s">
        <v>2179</v>
      </c>
      <c r="B38" s="2437" t="s">
        <v>14</v>
      </c>
      <c r="C38" s="2437" t="s">
        <v>2307</v>
      </c>
      <c r="D38" s="2437" t="s">
        <v>2308</v>
      </c>
      <c r="E38" s="2437" t="s">
        <v>2309</v>
      </c>
      <c r="F38" s="2437" t="s">
        <v>2183</v>
      </c>
      <c r="G38" s="2437" t="s">
        <v>2310</v>
      </c>
      <c r="H38" s="2437" t="s">
        <v>24</v>
      </c>
      <c r="I38" s="2437" t="s">
        <v>721</v>
      </c>
    </row>
    <row customHeight="1" ht="11.25">
      <c r="A39" s="2437" t="s">
        <v>2179</v>
      </c>
      <c r="B39" s="2437" t="s">
        <v>14</v>
      </c>
      <c r="C39" s="2437" t="s">
        <v>2311</v>
      </c>
      <c r="D39" s="2437" t="s">
        <v>2312</v>
      </c>
      <c r="E39" s="2437" t="s">
        <v>2313</v>
      </c>
      <c r="F39" s="2437" t="s">
        <v>50</v>
      </c>
      <c r="G39" s="2437" t="s">
        <v>24</v>
      </c>
      <c r="H39" s="2437" t="s">
        <v>24</v>
      </c>
      <c r="I39" s="2437" t="s">
        <v>721</v>
      </c>
    </row>
    <row customHeight="1" ht="11.25">
      <c r="A40" s="2437" t="s">
        <v>2179</v>
      </c>
      <c r="B40" s="2437" t="s">
        <v>14</v>
      </c>
      <c r="C40" s="2437" t="s">
        <v>2314</v>
      </c>
      <c r="D40" s="2437" t="s">
        <v>2315</v>
      </c>
      <c r="E40" s="2437" t="s">
        <v>2316</v>
      </c>
      <c r="F40" s="2437" t="s">
        <v>2187</v>
      </c>
      <c r="G40" s="2437" t="s">
        <v>24</v>
      </c>
      <c r="H40" s="2437" t="s">
        <v>24</v>
      </c>
      <c r="I40" s="2437" t="s">
        <v>721</v>
      </c>
    </row>
    <row customHeight="1" ht="11.25">
      <c r="A41" s="2437" t="s">
        <v>2179</v>
      </c>
      <c r="B41" s="2437" t="s">
        <v>14</v>
      </c>
      <c r="C41" s="2437" t="s">
        <v>2317</v>
      </c>
      <c r="D41" s="2437" t="s">
        <v>2318</v>
      </c>
      <c r="E41" s="2437" t="s">
        <v>2319</v>
      </c>
      <c r="F41" s="2437" t="s">
        <v>50</v>
      </c>
      <c r="G41" s="2437" t="s">
        <v>24</v>
      </c>
      <c r="H41" s="2437" t="s">
        <v>24</v>
      </c>
      <c r="I41" s="2437" t="s">
        <v>721</v>
      </c>
    </row>
    <row customHeight="1" ht="11.25">
      <c r="A42" s="2437" t="s">
        <v>2179</v>
      </c>
      <c r="B42" s="2437" t="s">
        <v>14</v>
      </c>
      <c r="C42" s="2437" t="s">
        <v>2320</v>
      </c>
      <c r="D42" s="2437" t="s">
        <v>2321</v>
      </c>
      <c r="E42" s="2437" t="s">
        <v>2322</v>
      </c>
      <c r="F42" s="2437" t="s">
        <v>2323</v>
      </c>
      <c r="G42" s="2437" t="s">
        <v>24</v>
      </c>
      <c r="H42" s="2437" t="s">
        <v>24</v>
      </c>
      <c r="I42" s="2437" t="s">
        <v>721</v>
      </c>
    </row>
    <row customHeight="1" ht="11.25">
      <c r="A43" s="2437" t="s">
        <v>2179</v>
      </c>
      <c r="B43" s="2437" t="s">
        <v>14</v>
      </c>
      <c r="C43" s="2437" t="s">
        <v>2324</v>
      </c>
      <c r="D43" s="2437" t="s">
        <v>2325</v>
      </c>
      <c r="E43" s="2437" t="s">
        <v>2326</v>
      </c>
      <c r="F43" s="2437" t="s">
        <v>2183</v>
      </c>
      <c r="G43" s="2437" t="s">
        <v>24</v>
      </c>
      <c r="H43" s="2437" t="s">
        <v>24</v>
      </c>
      <c r="I43" s="2437" t="s">
        <v>721</v>
      </c>
    </row>
    <row customHeight="1" ht="11.25">
      <c r="A44" s="2437" t="s">
        <v>2179</v>
      </c>
      <c r="B44" s="2437" t="s">
        <v>14</v>
      </c>
      <c r="C44" s="2437" t="s">
        <v>2327</v>
      </c>
      <c r="D44" s="2437" t="s">
        <v>2328</v>
      </c>
      <c r="E44" s="2437" t="s">
        <v>2329</v>
      </c>
      <c r="F44" s="2437" t="s">
        <v>2199</v>
      </c>
      <c r="G44" s="2437" t="s">
        <v>24</v>
      </c>
      <c r="H44" s="2437" t="s">
        <v>24</v>
      </c>
      <c r="I44" s="2437" t="s">
        <v>721</v>
      </c>
    </row>
    <row customHeight="1" ht="11.25">
      <c r="A45" s="2437" t="s">
        <v>2179</v>
      </c>
      <c r="B45" s="2437" t="s">
        <v>14</v>
      </c>
      <c r="C45" s="2437" t="s">
        <v>2330</v>
      </c>
      <c r="D45" s="2437" t="s">
        <v>2331</v>
      </c>
      <c r="E45" s="2437" t="s">
        <v>2217</v>
      </c>
      <c r="F45" s="2437" t="s">
        <v>2332</v>
      </c>
      <c r="G45" s="2437" t="s">
        <v>2333</v>
      </c>
      <c r="H45" s="2437" t="s">
        <v>24</v>
      </c>
      <c r="I45" s="2437" t="s">
        <v>721</v>
      </c>
    </row>
    <row customHeight="1" ht="11.25">
      <c r="A46" s="2437" t="s">
        <v>2179</v>
      </c>
      <c r="B46" s="2437" t="s">
        <v>14</v>
      </c>
      <c r="C46" s="2437" t="s">
        <v>2334</v>
      </c>
      <c r="D46" s="2437" t="s">
        <v>2335</v>
      </c>
      <c r="E46" s="2437" t="s">
        <v>2336</v>
      </c>
      <c r="F46" s="2437" t="s">
        <v>2199</v>
      </c>
      <c r="G46" s="2437" t="s">
        <v>2337</v>
      </c>
      <c r="H46" s="2437" t="s">
        <v>24</v>
      </c>
      <c r="I46" s="2437" t="s">
        <v>721</v>
      </c>
    </row>
    <row customHeight="1" ht="11.25">
      <c r="A47" s="2437" t="s">
        <v>2179</v>
      </c>
      <c r="B47" s="2437" t="s">
        <v>14</v>
      </c>
      <c r="C47" s="2437" t="s">
        <v>2338</v>
      </c>
      <c r="D47" s="2437" t="s">
        <v>2339</v>
      </c>
      <c r="E47" s="2437" t="s">
        <v>2340</v>
      </c>
      <c r="F47" s="2437" t="s">
        <v>50</v>
      </c>
      <c r="G47" s="2437" t="s">
        <v>24</v>
      </c>
      <c r="H47" s="2437" t="s">
        <v>24</v>
      </c>
      <c r="I47" s="2437" t="s">
        <v>721</v>
      </c>
    </row>
    <row customHeight="1" ht="11.25">
      <c r="A48" s="2437" t="s">
        <v>2179</v>
      </c>
      <c r="B48" s="2437" t="s">
        <v>14</v>
      </c>
      <c r="C48" s="2437" t="s">
        <v>2341</v>
      </c>
      <c r="D48" s="2437" t="s">
        <v>2342</v>
      </c>
      <c r="E48" s="2437" t="s">
        <v>2343</v>
      </c>
      <c r="F48" s="2437" t="s">
        <v>2344</v>
      </c>
      <c r="G48" s="2437" t="s">
        <v>24</v>
      </c>
      <c r="H48" s="2437" t="s">
        <v>24</v>
      </c>
      <c r="I48" s="2437" t="s">
        <v>721</v>
      </c>
    </row>
    <row customHeight="1" ht="11.25">
      <c r="A49" s="2437" t="s">
        <v>2179</v>
      </c>
      <c r="B49" s="2437" t="s">
        <v>14</v>
      </c>
      <c r="C49" s="2437" t="s">
        <v>2345</v>
      </c>
      <c r="D49" s="2437" t="s">
        <v>2346</v>
      </c>
      <c r="E49" s="2437" t="s">
        <v>2347</v>
      </c>
      <c r="F49" s="2437" t="s">
        <v>2191</v>
      </c>
      <c r="G49" s="2437" t="s">
        <v>24</v>
      </c>
      <c r="H49" s="2437" t="s">
        <v>24</v>
      </c>
      <c r="I49" s="2437" t="s">
        <v>721</v>
      </c>
    </row>
    <row customHeight="1" ht="11.25">
      <c r="A50" s="2437" t="s">
        <v>2179</v>
      </c>
      <c r="B50" s="2437" t="s">
        <v>14</v>
      </c>
      <c r="C50" s="2437" t="s">
        <v>2348</v>
      </c>
      <c r="D50" s="2437" t="s">
        <v>2349</v>
      </c>
      <c r="E50" s="2437" t="s">
        <v>2350</v>
      </c>
      <c r="F50" s="2437" t="s">
        <v>2282</v>
      </c>
      <c r="G50" s="2437" t="s">
        <v>24</v>
      </c>
      <c r="H50" s="2437" t="s">
        <v>24</v>
      </c>
      <c r="I50" s="2437" t="s">
        <v>721</v>
      </c>
    </row>
    <row customHeight="1" ht="11.25">
      <c r="A51" s="2437" t="s">
        <v>2179</v>
      </c>
      <c r="B51" s="2437" t="s">
        <v>14</v>
      </c>
      <c r="C51" s="2437" t="s">
        <v>2351</v>
      </c>
      <c r="D51" s="2437" t="s">
        <v>2352</v>
      </c>
      <c r="E51" s="2437" t="s">
        <v>2353</v>
      </c>
      <c r="F51" s="2437" t="s">
        <v>2282</v>
      </c>
      <c r="G51" s="2437" t="s">
        <v>24</v>
      </c>
      <c r="H51" s="2437" t="s">
        <v>24</v>
      </c>
      <c r="I51" s="2437" t="s">
        <v>721</v>
      </c>
    </row>
    <row customHeight="1" ht="11.25">
      <c r="A52" s="2437" t="s">
        <v>2179</v>
      </c>
      <c r="B52" s="2437" t="s">
        <v>14</v>
      </c>
      <c r="C52" s="2437" t="s">
        <v>2354</v>
      </c>
      <c r="D52" s="2437" t="s">
        <v>2355</v>
      </c>
      <c r="E52" s="2437" t="s">
        <v>2356</v>
      </c>
      <c r="F52" s="2437" t="s">
        <v>2195</v>
      </c>
      <c r="G52" s="2437" t="s">
        <v>24</v>
      </c>
      <c r="H52" s="2437" t="s">
        <v>24</v>
      </c>
      <c r="I52" s="2437" t="s">
        <v>721</v>
      </c>
    </row>
    <row customHeight="1" ht="11.25">
      <c r="A53" s="2437" t="s">
        <v>2179</v>
      </c>
      <c r="B53" s="2437" t="s">
        <v>14</v>
      </c>
      <c r="C53" s="2437" t="s">
        <v>2357</v>
      </c>
      <c r="D53" s="2437" t="s">
        <v>2358</v>
      </c>
      <c r="E53" s="2437" t="s">
        <v>2359</v>
      </c>
      <c r="F53" s="2437" t="s">
        <v>2282</v>
      </c>
      <c r="G53" s="2437" t="s">
        <v>24</v>
      </c>
      <c r="H53" s="2437" t="s">
        <v>24</v>
      </c>
      <c r="I53" s="2437" t="s">
        <v>721</v>
      </c>
    </row>
    <row customHeight="1" ht="11.25">
      <c r="A54" s="2437" t="s">
        <v>2179</v>
      </c>
      <c r="B54" s="2437" t="s">
        <v>14</v>
      </c>
      <c r="C54" s="2437" t="s">
        <v>2360</v>
      </c>
      <c r="D54" s="2437" t="s">
        <v>2361</v>
      </c>
      <c r="E54" s="2437" t="s">
        <v>2362</v>
      </c>
      <c r="F54" s="2437" t="s">
        <v>2251</v>
      </c>
      <c r="G54" s="2437" t="s">
        <v>24</v>
      </c>
      <c r="H54" s="2437" t="s">
        <v>24</v>
      </c>
      <c r="I54" s="2437" t="s">
        <v>721</v>
      </c>
    </row>
    <row customHeight="1" ht="11.25">
      <c r="A55" s="2437" t="s">
        <v>2179</v>
      </c>
      <c r="B55" s="2437" t="s">
        <v>14</v>
      </c>
      <c r="C55" s="2437" t="s">
        <v>2363</v>
      </c>
      <c r="D55" s="2437" t="s">
        <v>2364</v>
      </c>
      <c r="E55" s="2437" t="s">
        <v>2365</v>
      </c>
      <c r="F55" s="2437" t="s">
        <v>2251</v>
      </c>
      <c r="G55" s="2437" t="s">
        <v>24</v>
      </c>
      <c r="H55" s="2437" t="s">
        <v>24</v>
      </c>
      <c r="I55" s="2437" t="s">
        <v>721</v>
      </c>
    </row>
    <row customHeight="1" ht="11.25">
      <c r="A56" s="2437" t="s">
        <v>2179</v>
      </c>
      <c r="B56" s="2437" t="s">
        <v>14</v>
      </c>
      <c r="C56" s="2437" t="s">
        <v>2366</v>
      </c>
      <c r="D56" s="2437" t="s">
        <v>2367</v>
      </c>
      <c r="E56" s="2437" t="s">
        <v>2368</v>
      </c>
      <c r="F56" s="2437" t="s">
        <v>2183</v>
      </c>
      <c r="G56" s="2437" t="s">
        <v>24</v>
      </c>
      <c r="H56" s="2437" t="s">
        <v>24</v>
      </c>
      <c r="I56" s="2437" t="s">
        <v>721</v>
      </c>
    </row>
    <row customHeight="1" ht="11.25">
      <c r="A57" s="2437" t="s">
        <v>2179</v>
      </c>
      <c r="B57" s="2437" t="s">
        <v>14</v>
      </c>
      <c r="C57" s="2437" t="s">
        <v>2369</v>
      </c>
      <c r="D57" s="2437" t="s">
        <v>2370</v>
      </c>
      <c r="E57" s="2437" t="s">
        <v>2371</v>
      </c>
      <c r="F57" s="2437" t="s">
        <v>2372</v>
      </c>
      <c r="G57" s="2437" t="s">
        <v>24</v>
      </c>
      <c r="H57" s="2437" t="s">
        <v>24</v>
      </c>
      <c r="I57" s="2437" t="s">
        <v>721</v>
      </c>
    </row>
    <row customHeight="1" ht="11.25">
      <c r="A58" s="2437" t="s">
        <v>2179</v>
      </c>
      <c r="B58" s="2437" t="s">
        <v>14</v>
      </c>
      <c r="C58" s="2437" t="s">
        <v>2373</v>
      </c>
      <c r="D58" s="2437" t="s">
        <v>2374</v>
      </c>
      <c r="E58" s="2437" t="s">
        <v>2375</v>
      </c>
      <c r="F58" s="2437" t="s">
        <v>2376</v>
      </c>
      <c r="G58" s="2437" t="s">
        <v>24</v>
      </c>
      <c r="H58" s="2437" t="s">
        <v>24</v>
      </c>
      <c r="I58" s="2437" t="s">
        <v>721</v>
      </c>
    </row>
    <row customHeight="1" ht="11.25">
      <c r="A59" s="2437" t="s">
        <v>2179</v>
      </c>
      <c r="B59" s="2437" t="s">
        <v>14</v>
      </c>
      <c r="C59" s="2437" t="s">
        <v>2377</v>
      </c>
      <c r="D59" s="2437" t="s">
        <v>2378</v>
      </c>
      <c r="E59" s="2437" t="s">
        <v>2379</v>
      </c>
      <c r="F59" s="2437" t="s">
        <v>2380</v>
      </c>
      <c r="G59" s="2437" t="s">
        <v>24</v>
      </c>
      <c r="H59" s="2437" t="s">
        <v>24</v>
      </c>
      <c r="I59" s="2437" t="s">
        <v>721</v>
      </c>
    </row>
    <row customHeight="1" ht="11.25">
      <c r="A60" s="2437" t="s">
        <v>2179</v>
      </c>
      <c r="B60" s="2437" t="s">
        <v>14</v>
      </c>
      <c r="C60" s="2437" t="s">
        <v>2381</v>
      </c>
      <c r="D60" s="2437" t="s">
        <v>2382</v>
      </c>
      <c r="E60" s="2437" t="s">
        <v>2383</v>
      </c>
      <c r="F60" s="2437" t="s">
        <v>2265</v>
      </c>
      <c r="G60" s="2437" t="s">
        <v>24</v>
      </c>
      <c r="H60" s="2437" t="s">
        <v>24</v>
      </c>
      <c r="I60" s="2437" t="s">
        <v>721</v>
      </c>
    </row>
    <row customHeight="1" ht="11.25">
      <c r="A61" s="2437" t="s">
        <v>2179</v>
      </c>
      <c r="B61" s="2437" t="s">
        <v>14</v>
      </c>
      <c r="C61" s="2437" t="s">
        <v>2384</v>
      </c>
      <c r="D61" s="2437" t="s">
        <v>2385</v>
      </c>
      <c r="E61" s="2437" t="s">
        <v>2386</v>
      </c>
      <c r="F61" s="2437" t="s">
        <v>2387</v>
      </c>
      <c r="G61" s="2437" t="s">
        <v>24</v>
      </c>
      <c r="H61" s="2437" t="s">
        <v>24</v>
      </c>
      <c r="I61" s="2437" t="s">
        <v>721</v>
      </c>
    </row>
    <row customHeight="1" ht="11.25">
      <c r="A62" s="2437" t="s">
        <v>2179</v>
      </c>
      <c r="B62" s="2437" t="s">
        <v>14</v>
      </c>
      <c r="C62" s="2437" t="s">
        <v>2388</v>
      </c>
      <c r="D62" s="2437" t="s">
        <v>2389</v>
      </c>
      <c r="E62" s="2437" t="s">
        <v>2390</v>
      </c>
      <c r="F62" s="2437" t="s">
        <v>2391</v>
      </c>
      <c r="G62" s="2437" t="s">
        <v>24</v>
      </c>
      <c r="H62" s="2437" t="s">
        <v>2392</v>
      </c>
      <c r="I62" s="2437" t="s">
        <v>721</v>
      </c>
    </row>
    <row customHeight="1" ht="11.25">
      <c r="A63" s="2437" t="s">
        <v>2179</v>
      </c>
      <c r="B63" s="2437" t="s">
        <v>14</v>
      </c>
      <c r="C63" s="2437" t="s">
        <v>2393</v>
      </c>
      <c r="D63" s="2437" t="s">
        <v>2394</v>
      </c>
      <c r="E63" s="2437" t="s">
        <v>2395</v>
      </c>
      <c r="F63" s="2437" t="s">
        <v>2199</v>
      </c>
      <c r="G63" s="2437" t="s">
        <v>24</v>
      </c>
      <c r="H63" s="2437" t="s">
        <v>24</v>
      </c>
      <c r="I63" s="2437" t="s">
        <v>721</v>
      </c>
    </row>
    <row customHeight="1" ht="11.25">
      <c r="A64" s="2437" t="s">
        <v>2179</v>
      </c>
      <c r="B64" s="2437" t="s">
        <v>14</v>
      </c>
      <c r="C64" s="2437" t="s">
        <v>2396</v>
      </c>
      <c r="D64" s="2437" t="s">
        <v>2397</v>
      </c>
      <c r="E64" s="2437" t="s">
        <v>2398</v>
      </c>
      <c r="F64" s="2437" t="s">
        <v>2399</v>
      </c>
      <c r="G64" s="2437" t="s">
        <v>24</v>
      </c>
      <c r="H64" s="2437" t="s">
        <v>24</v>
      </c>
      <c r="I64" s="2437" t="s">
        <v>721</v>
      </c>
    </row>
    <row customHeight="1" ht="11.25">
      <c r="A65" s="2437" t="s">
        <v>2179</v>
      </c>
      <c r="B65" s="2437" t="s">
        <v>14</v>
      </c>
      <c r="C65" s="2437" t="s">
        <v>2400</v>
      </c>
      <c r="D65" s="2437" t="s">
        <v>2401</v>
      </c>
      <c r="E65" s="2437" t="s">
        <v>2402</v>
      </c>
      <c r="F65" s="2437" t="s">
        <v>2191</v>
      </c>
      <c r="G65" s="2437" t="s">
        <v>24</v>
      </c>
      <c r="H65" s="2437" t="s">
        <v>24</v>
      </c>
      <c r="I65" s="2437" t="s">
        <v>721</v>
      </c>
    </row>
    <row customHeight="1" ht="11.25">
      <c r="A66" s="2437" t="s">
        <v>2179</v>
      </c>
      <c r="B66" s="2437" t="s">
        <v>14</v>
      </c>
      <c r="C66" s="2437" t="s">
        <v>2403</v>
      </c>
      <c r="D66" s="2437" t="s">
        <v>2404</v>
      </c>
      <c r="E66" s="2437" t="s">
        <v>2405</v>
      </c>
      <c r="F66" s="2437" t="s">
        <v>2210</v>
      </c>
      <c r="G66" s="2437" t="s">
        <v>24</v>
      </c>
      <c r="H66" s="2437" t="s">
        <v>24</v>
      </c>
      <c r="I66" s="2437" t="s">
        <v>721</v>
      </c>
    </row>
    <row customHeight="1" ht="11.25">
      <c r="A67" s="2437" t="s">
        <v>2179</v>
      </c>
      <c r="B67" s="2437" t="s">
        <v>14</v>
      </c>
      <c r="C67" s="2437" t="s">
        <v>2406</v>
      </c>
      <c r="D67" s="2437" t="s">
        <v>2407</v>
      </c>
      <c r="E67" s="2437" t="s">
        <v>2408</v>
      </c>
      <c r="F67" s="2437" t="s">
        <v>2191</v>
      </c>
      <c r="G67" s="2437" t="s">
        <v>24</v>
      </c>
      <c r="H67" s="2437" t="s">
        <v>24</v>
      </c>
      <c r="I67" s="2437" t="s">
        <v>721</v>
      </c>
    </row>
    <row customHeight="1" ht="11.25">
      <c r="A68" s="2437" t="s">
        <v>2179</v>
      </c>
      <c r="B68" s="2437" t="s">
        <v>14</v>
      </c>
      <c r="C68" s="2437" t="s">
        <v>2409</v>
      </c>
      <c r="D68" s="2437" t="s">
        <v>2410</v>
      </c>
      <c r="E68" s="2437" t="s">
        <v>2411</v>
      </c>
      <c r="F68" s="2437" t="s">
        <v>2286</v>
      </c>
      <c r="G68" s="2437" t="s">
        <v>24</v>
      </c>
      <c r="H68" s="2437" t="s">
        <v>24</v>
      </c>
      <c r="I68" s="2437" t="s">
        <v>721</v>
      </c>
    </row>
    <row customHeight="1" ht="11.25">
      <c r="A69" s="2437" t="s">
        <v>2179</v>
      </c>
      <c r="B69" s="2437" t="s">
        <v>14</v>
      </c>
      <c r="C69" s="2437" t="s">
        <v>2412</v>
      </c>
      <c r="D69" s="2437" t="s">
        <v>2413</v>
      </c>
      <c r="E69" s="2437" t="s">
        <v>2414</v>
      </c>
      <c r="F69" s="2437" t="s">
        <v>2199</v>
      </c>
      <c r="G69" s="2437" t="s">
        <v>24</v>
      </c>
      <c r="H69" s="2437" t="s">
        <v>24</v>
      </c>
      <c r="I69" s="2437" t="s">
        <v>721</v>
      </c>
    </row>
    <row customHeight="1" ht="11.25">
      <c r="A70" s="2437" t="s">
        <v>2179</v>
      </c>
      <c r="B70" s="2437" t="s">
        <v>14</v>
      </c>
      <c r="C70" s="2437" t="s">
        <v>2415</v>
      </c>
      <c r="D70" s="2437" t="s">
        <v>2416</v>
      </c>
      <c r="E70" s="2437" t="s">
        <v>2417</v>
      </c>
      <c r="F70" s="2437" t="s">
        <v>2380</v>
      </c>
      <c r="G70" s="2437" t="s">
        <v>24</v>
      </c>
      <c r="H70" s="2437" t="s">
        <v>24</v>
      </c>
      <c r="I70" s="2437" t="s">
        <v>721</v>
      </c>
    </row>
    <row customHeight="1" ht="11.25">
      <c r="A71" s="2437" t="s">
        <v>2179</v>
      </c>
      <c r="B71" s="2437" t="s">
        <v>14</v>
      </c>
      <c r="C71" s="2437" t="s">
        <v>2418</v>
      </c>
      <c r="D71" s="2437" t="s">
        <v>2419</v>
      </c>
      <c r="E71" s="2437" t="s">
        <v>2420</v>
      </c>
      <c r="F71" s="2437" t="s">
        <v>2372</v>
      </c>
      <c r="G71" s="2437" t="s">
        <v>24</v>
      </c>
      <c r="H71" s="2437" t="s">
        <v>24</v>
      </c>
      <c r="I71" s="2437" t="s">
        <v>721</v>
      </c>
    </row>
    <row customHeight="1" ht="11.25">
      <c r="A72" s="2437" t="s">
        <v>2179</v>
      </c>
      <c r="B72" s="2437" t="s">
        <v>14</v>
      </c>
      <c r="C72" s="2437" t="s">
        <v>2421</v>
      </c>
      <c r="D72" s="2437" t="s">
        <v>2422</v>
      </c>
      <c r="E72" s="2437" t="s">
        <v>2423</v>
      </c>
      <c r="F72" s="2437" t="s">
        <v>2187</v>
      </c>
      <c r="G72" s="2437" t="s">
        <v>24</v>
      </c>
      <c r="H72" s="2437" t="s">
        <v>2424</v>
      </c>
      <c r="I72" s="2437" t="s">
        <v>721</v>
      </c>
    </row>
    <row customHeight="1" ht="11.25">
      <c r="A73" s="2437" t="s">
        <v>2179</v>
      </c>
      <c r="B73" s="2437" t="s">
        <v>14</v>
      </c>
      <c r="C73" s="2437" t="s">
        <v>2425</v>
      </c>
      <c r="D73" s="2437" t="s">
        <v>2426</v>
      </c>
      <c r="E73" s="2437" t="s">
        <v>2427</v>
      </c>
      <c r="F73" s="2437" t="s">
        <v>2191</v>
      </c>
      <c r="G73" s="2437" t="s">
        <v>24</v>
      </c>
      <c r="H73" s="2437" t="s">
        <v>24</v>
      </c>
      <c r="I73" s="2437" t="s">
        <v>721</v>
      </c>
    </row>
    <row customHeight="1" ht="11.25">
      <c r="A74" s="2437" t="s">
        <v>2179</v>
      </c>
      <c r="B74" s="2437" t="s">
        <v>14</v>
      </c>
      <c r="C74" s="2437" t="s">
        <v>2428</v>
      </c>
      <c r="D74" s="2437" t="s">
        <v>2429</v>
      </c>
      <c r="E74" s="2437" t="s">
        <v>2430</v>
      </c>
      <c r="F74" s="2437" t="s">
        <v>2372</v>
      </c>
      <c r="G74" s="2437" t="s">
        <v>24</v>
      </c>
      <c r="H74" s="2437" t="s">
        <v>24</v>
      </c>
      <c r="I74" s="2437" t="s">
        <v>721</v>
      </c>
    </row>
    <row customHeight="1" ht="11.25">
      <c r="A75" s="2437" t="s">
        <v>2179</v>
      </c>
      <c r="B75" s="2437" t="s">
        <v>14</v>
      </c>
      <c r="C75" s="2437" t="s">
        <v>2431</v>
      </c>
      <c r="D75" s="2437" t="s">
        <v>2432</v>
      </c>
      <c r="E75" s="2437" t="s">
        <v>2433</v>
      </c>
      <c r="F75" s="2437" t="s">
        <v>2191</v>
      </c>
      <c r="G75" s="2437" t="s">
        <v>24</v>
      </c>
      <c r="H75" s="2437" t="s">
        <v>24</v>
      </c>
      <c r="I75" s="2437" t="s">
        <v>721</v>
      </c>
    </row>
    <row customHeight="1" ht="11.25">
      <c r="A76" s="2437" t="s">
        <v>2179</v>
      </c>
      <c r="B76" s="2437" t="s">
        <v>14</v>
      </c>
      <c r="C76" s="2437" t="s">
        <v>2434</v>
      </c>
      <c r="D76" s="2437" t="s">
        <v>2435</v>
      </c>
      <c r="E76" s="2437" t="s">
        <v>2436</v>
      </c>
      <c r="F76" s="2437" t="s">
        <v>2344</v>
      </c>
      <c r="G76" s="2437" t="s">
        <v>24</v>
      </c>
      <c r="H76" s="2437" t="s">
        <v>24</v>
      </c>
      <c r="I76" s="2437" t="s">
        <v>721</v>
      </c>
    </row>
    <row customHeight="1" ht="11.25">
      <c r="A77" s="2437" t="s">
        <v>2179</v>
      </c>
      <c r="B77" s="2437" t="s">
        <v>14</v>
      </c>
      <c r="C77" s="2437" t="s">
        <v>2437</v>
      </c>
      <c r="D77" s="2437" t="s">
        <v>2438</v>
      </c>
      <c r="E77" s="2437" t="s">
        <v>2439</v>
      </c>
      <c r="F77" s="2437" t="s">
        <v>2191</v>
      </c>
      <c r="G77" s="2437" t="s">
        <v>24</v>
      </c>
      <c r="H77" s="2437" t="s">
        <v>24</v>
      </c>
      <c r="I77" s="2437" t="s">
        <v>721</v>
      </c>
    </row>
    <row customHeight="1" ht="11.25">
      <c r="A78" s="2437" t="s">
        <v>2179</v>
      </c>
      <c r="B78" s="2437" t="s">
        <v>14</v>
      </c>
      <c r="C78" s="2437" t="s">
        <v>2440</v>
      </c>
      <c r="D78" s="2437" t="s">
        <v>2441</v>
      </c>
      <c r="E78" s="2437" t="s">
        <v>2442</v>
      </c>
      <c r="F78" s="2437" t="s">
        <v>2247</v>
      </c>
      <c r="G78" s="2437" t="s">
        <v>24</v>
      </c>
      <c r="H78" s="2437" t="s">
        <v>24</v>
      </c>
      <c r="I78" s="2437" t="s">
        <v>721</v>
      </c>
    </row>
    <row customHeight="1" ht="11.25">
      <c r="A79" s="2437" t="s">
        <v>2179</v>
      </c>
      <c r="B79" s="2437" t="s">
        <v>14</v>
      </c>
      <c r="C79" s="2437" t="s">
        <v>2443</v>
      </c>
      <c r="D79" s="2437" t="s">
        <v>2444</v>
      </c>
      <c r="E79" s="2437" t="s">
        <v>2445</v>
      </c>
      <c r="F79" s="2437" t="s">
        <v>2199</v>
      </c>
      <c r="G79" s="2437" t="s">
        <v>24</v>
      </c>
      <c r="H79" s="2437" t="s">
        <v>24</v>
      </c>
      <c r="I79" s="2437" t="s">
        <v>721</v>
      </c>
    </row>
    <row customHeight="1" ht="11.25">
      <c r="A80" s="2437" t="s">
        <v>2179</v>
      </c>
      <c r="B80" s="2437" t="s">
        <v>14</v>
      </c>
      <c r="C80" s="2437" t="s">
        <v>2446</v>
      </c>
      <c r="D80" s="2437" t="s">
        <v>2447</v>
      </c>
      <c r="E80" s="2437" t="s">
        <v>2448</v>
      </c>
      <c r="F80" s="2437" t="s">
        <v>2344</v>
      </c>
      <c r="G80" s="2437" t="s">
        <v>24</v>
      </c>
      <c r="H80" s="2437" t="s">
        <v>24</v>
      </c>
      <c r="I80" s="2437" t="s">
        <v>721</v>
      </c>
    </row>
    <row customHeight="1" ht="11.25">
      <c r="A81" s="2437" t="s">
        <v>2179</v>
      </c>
      <c r="B81" s="2437" t="s">
        <v>14</v>
      </c>
      <c r="C81" s="2437" t="s">
        <v>2449</v>
      </c>
      <c r="D81" s="2437" t="s">
        <v>2450</v>
      </c>
      <c r="E81" s="2437" t="s">
        <v>2451</v>
      </c>
      <c r="F81" s="2437" t="s">
        <v>2191</v>
      </c>
      <c r="G81" s="2437" t="s">
        <v>24</v>
      </c>
      <c r="H81" s="2437" t="s">
        <v>24</v>
      </c>
      <c r="I81" s="2437" t="s">
        <v>721</v>
      </c>
    </row>
    <row customHeight="1" ht="11.25">
      <c r="A82" s="2437" t="s">
        <v>2179</v>
      </c>
      <c r="B82" s="2437" t="s">
        <v>14</v>
      </c>
      <c r="C82" s="2437" t="s">
        <v>2452</v>
      </c>
      <c r="D82" s="2437" t="s">
        <v>2453</v>
      </c>
      <c r="E82" s="2437" t="s">
        <v>2454</v>
      </c>
      <c r="F82" s="2437" t="s">
        <v>2187</v>
      </c>
      <c r="G82" s="2437" t="s">
        <v>24</v>
      </c>
      <c r="H82" s="2437" t="s">
        <v>24</v>
      </c>
      <c r="I82" s="2437" t="s">
        <v>721</v>
      </c>
    </row>
    <row customHeight="1" ht="11.25">
      <c r="A83" s="2437" t="s">
        <v>2179</v>
      </c>
      <c r="B83" s="2437" t="s">
        <v>14</v>
      </c>
      <c r="C83" s="2437" t="s">
        <v>2455</v>
      </c>
      <c r="D83" s="2437" t="s">
        <v>2456</v>
      </c>
      <c r="E83" s="2437" t="s">
        <v>2457</v>
      </c>
      <c r="F83" s="2437" t="s">
        <v>2195</v>
      </c>
      <c r="G83" s="2437" t="s">
        <v>24</v>
      </c>
      <c r="H83" s="2437" t="s">
        <v>24</v>
      </c>
      <c r="I83" s="2437" t="s">
        <v>721</v>
      </c>
    </row>
    <row customHeight="1" ht="11.25">
      <c r="A84" s="2437" t="s">
        <v>2179</v>
      </c>
      <c r="B84" s="2437" t="s">
        <v>14</v>
      </c>
      <c r="C84" s="2437" t="s">
        <v>2458</v>
      </c>
      <c r="D84" s="2437" t="s">
        <v>2459</v>
      </c>
      <c r="E84" s="2437" t="s">
        <v>2460</v>
      </c>
      <c r="F84" s="2437" t="s">
        <v>2461</v>
      </c>
      <c r="G84" s="2437" t="s">
        <v>2462</v>
      </c>
      <c r="H84" s="2437" t="s">
        <v>24</v>
      </c>
      <c r="I84" s="2437" t="s">
        <v>721</v>
      </c>
    </row>
    <row customHeight="1" ht="11.25">
      <c r="A85" s="2437" t="s">
        <v>2179</v>
      </c>
      <c r="B85" s="2437" t="s">
        <v>14</v>
      </c>
      <c r="C85" s="2437" t="s">
        <v>2463</v>
      </c>
      <c r="D85" s="2437" t="s">
        <v>2464</v>
      </c>
      <c r="E85" s="2437" t="s">
        <v>2465</v>
      </c>
      <c r="F85" s="2437" t="s">
        <v>2183</v>
      </c>
      <c r="G85" s="2437" t="s">
        <v>24</v>
      </c>
      <c r="H85" s="2437" t="s">
        <v>24</v>
      </c>
      <c r="I85" s="2437" t="s">
        <v>721</v>
      </c>
    </row>
    <row customHeight="1" ht="11.25">
      <c r="A86" s="2437" t="s">
        <v>2179</v>
      </c>
      <c r="B86" s="2437" t="s">
        <v>14</v>
      </c>
      <c r="C86" s="2437" t="s">
        <v>2466</v>
      </c>
      <c r="D86" s="2437" t="s">
        <v>2467</v>
      </c>
      <c r="E86" s="2437" t="s">
        <v>2468</v>
      </c>
      <c r="F86" s="2437" t="s">
        <v>2191</v>
      </c>
      <c r="G86" s="2437" t="s">
        <v>2469</v>
      </c>
      <c r="H86" s="2437" t="s">
        <v>24</v>
      </c>
      <c r="I86" s="2437" t="s">
        <v>721</v>
      </c>
    </row>
    <row customHeight="1" ht="11.25">
      <c r="A87" s="2437" t="s">
        <v>2179</v>
      </c>
      <c r="B87" s="2437" t="s">
        <v>14</v>
      </c>
      <c r="C87" s="2437" t="s">
        <v>2470</v>
      </c>
      <c r="D87" s="2437" t="s">
        <v>2471</v>
      </c>
      <c r="E87" s="2437" t="s">
        <v>2472</v>
      </c>
      <c r="F87" s="2437" t="s">
        <v>2372</v>
      </c>
      <c r="G87" s="2437" t="s">
        <v>24</v>
      </c>
      <c r="H87" s="2437" t="s">
        <v>24</v>
      </c>
      <c r="I87" s="2437" t="s">
        <v>721</v>
      </c>
    </row>
    <row customHeight="1" ht="11.25">
      <c r="A88" s="2437" t="s">
        <v>2179</v>
      </c>
      <c r="B88" s="2437" t="s">
        <v>14</v>
      </c>
      <c r="C88" s="2437" t="s">
        <v>2473</v>
      </c>
      <c r="D88" s="2437" t="s">
        <v>2474</v>
      </c>
      <c r="E88" s="2437" t="s">
        <v>2475</v>
      </c>
      <c r="F88" s="2437" t="s">
        <v>2372</v>
      </c>
      <c r="G88" s="2437" t="s">
        <v>24</v>
      </c>
      <c r="H88" s="2437" t="s">
        <v>24</v>
      </c>
      <c r="I88" s="2437" t="s">
        <v>721</v>
      </c>
    </row>
    <row customHeight="1" ht="11.25">
      <c r="A89" s="2437" t="s">
        <v>2179</v>
      </c>
      <c r="B89" s="2437" t="s">
        <v>14</v>
      </c>
      <c r="C89" s="2437" t="s">
        <v>2476</v>
      </c>
      <c r="D89" s="2437" t="s">
        <v>2477</v>
      </c>
      <c r="E89" s="2437" t="s">
        <v>2478</v>
      </c>
      <c r="F89" s="2437" t="s">
        <v>2372</v>
      </c>
      <c r="G89" s="2437" t="s">
        <v>24</v>
      </c>
      <c r="H89" s="2437" t="s">
        <v>24</v>
      </c>
      <c r="I89" s="2437" t="s">
        <v>721</v>
      </c>
    </row>
    <row customHeight="1" ht="11.25">
      <c r="A90" s="2437" t="s">
        <v>2179</v>
      </c>
      <c r="B90" s="2437" t="s">
        <v>14</v>
      </c>
      <c r="C90" s="2437" t="s">
        <v>2479</v>
      </c>
      <c r="D90" s="2437" t="s">
        <v>2480</v>
      </c>
      <c r="E90" s="2437" t="s">
        <v>2481</v>
      </c>
      <c r="F90" s="2437" t="s">
        <v>2247</v>
      </c>
      <c r="G90" s="2437" t="s">
        <v>24</v>
      </c>
      <c r="H90" s="2437" t="s">
        <v>24</v>
      </c>
      <c r="I90" s="2437" t="s">
        <v>721</v>
      </c>
    </row>
    <row customHeight="1" ht="11.25">
      <c r="A91" s="2437" t="s">
        <v>2179</v>
      </c>
      <c r="B91" s="2437" t="s">
        <v>14</v>
      </c>
      <c r="C91" s="2437" t="s">
        <v>2482</v>
      </c>
      <c r="D91" s="2437" t="s">
        <v>2483</v>
      </c>
      <c r="E91" s="2437" t="s">
        <v>2484</v>
      </c>
      <c r="F91" s="2437" t="s">
        <v>2282</v>
      </c>
      <c r="G91" s="2437" t="s">
        <v>24</v>
      </c>
      <c r="H91" s="2437" t="s">
        <v>24</v>
      </c>
      <c r="I91" s="2437" t="s">
        <v>721</v>
      </c>
    </row>
    <row customHeight="1" ht="11.25">
      <c r="A92" s="2437" t="s">
        <v>2179</v>
      </c>
      <c r="B92" s="2437" t="s">
        <v>14</v>
      </c>
      <c r="C92" s="2437" t="s">
        <v>2485</v>
      </c>
      <c r="D92" s="2437" t="s">
        <v>2486</v>
      </c>
      <c r="E92" s="2437" t="s">
        <v>2487</v>
      </c>
      <c r="F92" s="2437" t="s">
        <v>2488</v>
      </c>
      <c r="G92" s="2437" t="s">
        <v>24</v>
      </c>
      <c r="H92" s="2437" t="s">
        <v>24</v>
      </c>
      <c r="I92" s="2437" t="s">
        <v>721</v>
      </c>
    </row>
    <row customHeight="1" ht="11.25">
      <c r="A93" s="2437" t="s">
        <v>2179</v>
      </c>
      <c r="B93" s="2437" t="s">
        <v>14</v>
      </c>
      <c r="C93" s="2437" t="s">
        <v>2489</v>
      </c>
      <c r="D93" s="2437" t="s">
        <v>2490</v>
      </c>
      <c r="E93" s="2437" t="s">
        <v>2491</v>
      </c>
      <c r="F93" s="2437" t="s">
        <v>50</v>
      </c>
      <c r="G93" s="2437" t="s">
        <v>24</v>
      </c>
      <c r="H93" s="2437" t="s">
        <v>24</v>
      </c>
      <c r="I93" s="2437" t="s">
        <v>721</v>
      </c>
    </row>
    <row customHeight="1" ht="11.25">
      <c r="A94" s="2437" t="s">
        <v>2179</v>
      </c>
      <c r="B94" s="2437" t="s">
        <v>14</v>
      </c>
      <c r="C94" s="2437" t="s">
        <v>2492</v>
      </c>
      <c r="D94" s="2437" t="s">
        <v>2493</v>
      </c>
      <c r="E94" s="2437" t="s">
        <v>2494</v>
      </c>
      <c r="F94" s="2437" t="s">
        <v>2282</v>
      </c>
      <c r="G94" s="2437" t="s">
        <v>24</v>
      </c>
      <c r="H94" s="2437" t="s">
        <v>24</v>
      </c>
      <c r="I94" s="2437" t="s">
        <v>721</v>
      </c>
    </row>
    <row customHeight="1" ht="11.25">
      <c r="A95" s="2437" t="s">
        <v>2179</v>
      </c>
      <c r="B95" s="2437" t="s">
        <v>14</v>
      </c>
      <c r="C95" s="2437" t="s">
        <v>2495</v>
      </c>
      <c r="D95" s="2437" t="s">
        <v>2496</v>
      </c>
      <c r="E95" s="2437" t="s">
        <v>2497</v>
      </c>
      <c r="F95" s="2437" t="s">
        <v>2282</v>
      </c>
      <c r="G95" s="2437" t="s">
        <v>24</v>
      </c>
      <c r="H95" s="2437" t="s">
        <v>24</v>
      </c>
      <c r="I95" s="2437" t="s">
        <v>721</v>
      </c>
    </row>
    <row customHeight="1" ht="11.25">
      <c r="A96" s="2437" t="s">
        <v>2179</v>
      </c>
      <c r="B96" s="2437" t="s">
        <v>14</v>
      </c>
      <c r="C96" s="2437" t="s">
        <v>2498</v>
      </c>
      <c r="D96" s="2437" t="s">
        <v>2499</v>
      </c>
      <c r="E96" s="2437" t="s">
        <v>2500</v>
      </c>
      <c r="F96" s="2437" t="s">
        <v>2187</v>
      </c>
      <c r="G96" s="2437" t="s">
        <v>24</v>
      </c>
      <c r="H96" s="2437" t="s">
        <v>24</v>
      </c>
      <c r="I96" s="2437" t="s">
        <v>721</v>
      </c>
    </row>
    <row customHeight="1" ht="11.25">
      <c r="A97" s="2437" t="s">
        <v>2179</v>
      </c>
      <c r="B97" s="2437" t="s">
        <v>14</v>
      </c>
      <c r="C97" s="2437" t="s">
        <v>2501</v>
      </c>
      <c r="D97" s="2437" t="s">
        <v>2502</v>
      </c>
      <c r="E97" s="2437" t="s">
        <v>2503</v>
      </c>
      <c r="F97" s="2437" t="s">
        <v>2504</v>
      </c>
      <c r="G97" s="2437" t="s">
        <v>24</v>
      </c>
      <c r="H97" s="2437" t="s">
        <v>24</v>
      </c>
      <c r="I97" s="2437" t="s">
        <v>721</v>
      </c>
    </row>
    <row customHeight="1" ht="11.25">
      <c r="A98" s="2437" t="s">
        <v>2179</v>
      </c>
      <c r="B98" s="2437" t="s">
        <v>14</v>
      </c>
      <c r="C98" s="2437" t="s">
        <v>2505</v>
      </c>
      <c r="D98" s="2437" t="s">
        <v>2506</v>
      </c>
      <c r="E98" s="2437" t="s">
        <v>2507</v>
      </c>
      <c r="F98" s="2437" t="s">
        <v>2508</v>
      </c>
      <c r="G98" s="2437" t="s">
        <v>24</v>
      </c>
      <c r="H98" s="2437" t="s">
        <v>24</v>
      </c>
      <c r="I98" s="2437" t="s">
        <v>721</v>
      </c>
    </row>
    <row customHeight="1" ht="11.25">
      <c r="A99" s="2437" t="s">
        <v>2179</v>
      </c>
      <c r="B99" s="2437" t="s">
        <v>14</v>
      </c>
      <c r="C99" s="2437" t="s">
        <v>2509</v>
      </c>
      <c r="D99" s="2437" t="s">
        <v>2510</v>
      </c>
      <c r="E99" s="2437" t="s">
        <v>2511</v>
      </c>
      <c r="F99" s="2437" t="s">
        <v>2210</v>
      </c>
      <c r="G99" s="2437" t="s">
        <v>24</v>
      </c>
      <c r="H99" s="2437" t="s">
        <v>24</v>
      </c>
      <c r="I99" s="2437" t="s">
        <v>721</v>
      </c>
    </row>
    <row customHeight="1" ht="11.25">
      <c r="A100" s="2437" t="s">
        <v>2179</v>
      </c>
      <c r="B100" s="2437" t="s">
        <v>14</v>
      </c>
      <c r="C100" s="2437" t="s">
        <v>2512</v>
      </c>
      <c r="D100" s="2437" t="s">
        <v>2513</v>
      </c>
      <c r="E100" s="2437" t="s">
        <v>2514</v>
      </c>
      <c r="F100" s="2437" t="s">
        <v>2282</v>
      </c>
      <c r="G100" s="2437" t="s">
        <v>24</v>
      </c>
      <c r="H100" s="2437" t="s">
        <v>24</v>
      </c>
      <c r="I100" s="2437" t="s">
        <v>721</v>
      </c>
    </row>
    <row customHeight="1" ht="11.25">
      <c r="A101" s="2437" t="s">
        <v>2179</v>
      </c>
      <c r="B101" s="2437" t="s">
        <v>14</v>
      </c>
      <c r="C101" s="2437" t="s">
        <v>2515</v>
      </c>
      <c r="D101" s="2437" t="s">
        <v>2516</v>
      </c>
      <c r="E101" s="2437" t="s">
        <v>2517</v>
      </c>
      <c r="F101" s="2437" t="s">
        <v>50</v>
      </c>
      <c r="G101" s="2437" t="s">
        <v>24</v>
      </c>
      <c r="H101" s="2437" t="s">
        <v>24</v>
      </c>
      <c r="I101" s="2437" t="s">
        <v>721</v>
      </c>
    </row>
    <row customHeight="1" ht="11.25">
      <c r="A102" s="2437" t="s">
        <v>2179</v>
      </c>
      <c r="B102" s="2437" t="s">
        <v>14</v>
      </c>
      <c r="C102" s="2437" t="s">
        <v>2518</v>
      </c>
      <c r="D102" s="2437" t="s">
        <v>2519</v>
      </c>
      <c r="E102" s="2437" t="s">
        <v>2520</v>
      </c>
      <c r="F102" s="2437" t="s">
        <v>2376</v>
      </c>
      <c r="G102" s="2437" t="s">
        <v>24</v>
      </c>
      <c r="H102" s="2437" t="s">
        <v>24</v>
      </c>
      <c r="I102" s="2437" t="s">
        <v>721</v>
      </c>
    </row>
    <row customHeight="1" ht="11.25">
      <c r="A103" s="2437" t="s">
        <v>2179</v>
      </c>
      <c r="B103" s="2437" t="s">
        <v>14</v>
      </c>
      <c r="C103" s="2437" t="s">
        <v>2521</v>
      </c>
      <c r="D103" s="2437" t="s">
        <v>2522</v>
      </c>
      <c r="E103" s="2437" t="s">
        <v>2523</v>
      </c>
      <c r="F103" s="2437" t="s">
        <v>2524</v>
      </c>
      <c r="G103" s="2437" t="s">
        <v>2525</v>
      </c>
      <c r="H103" s="2437" t="s">
        <v>24</v>
      </c>
      <c r="I103" s="2437" t="s">
        <v>721</v>
      </c>
    </row>
    <row customHeight="1" ht="11.25">
      <c r="A104" s="2437" t="s">
        <v>2179</v>
      </c>
      <c r="B104" s="2437" t="s">
        <v>14</v>
      </c>
      <c r="C104" s="2437" t="s">
        <v>2526</v>
      </c>
      <c r="D104" s="2437" t="s">
        <v>2522</v>
      </c>
      <c r="E104" s="2437" t="s">
        <v>2523</v>
      </c>
      <c r="F104" s="2437" t="s">
        <v>2527</v>
      </c>
      <c r="G104" s="2437" t="s">
        <v>24</v>
      </c>
      <c r="H104" s="2437" t="s">
        <v>24</v>
      </c>
      <c r="I104" s="2437" t="s">
        <v>721</v>
      </c>
    </row>
    <row customHeight="1" ht="11.25">
      <c r="A105" s="2437" t="s">
        <v>2179</v>
      </c>
      <c r="B105" s="2437" t="s">
        <v>14</v>
      </c>
      <c r="C105" s="2437" t="s">
        <v>2528</v>
      </c>
      <c r="D105" s="2437" t="s">
        <v>2529</v>
      </c>
      <c r="E105" s="2437" t="s">
        <v>2530</v>
      </c>
      <c r="F105" s="2437" t="s">
        <v>2195</v>
      </c>
      <c r="G105" s="2437" t="s">
        <v>24</v>
      </c>
      <c r="H105" s="2437" t="s">
        <v>2531</v>
      </c>
      <c r="I105" s="2437" t="s">
        <v>721</v>
      </c>
    </row>
    <row customHeight="1" ht="11.25">
      <c r="A106" s="2437" t="s">
        <v>2179</v>
      </c>
      <c r="B106" s="2437" t="s">
        <v>14</v>
      </c>
      <c r="C106" s="2437" t="s">
        <v>2532</v>
      </c>
      <c r="D106" s="2437" t="s">
        <v>2533</v>
      </c>
      <c r="E106" s="2437" t="s">
        <v>2534</v>
      </c>
      <c r="F106" s="2437" t="s">
        <v>2535</v>
      </c>
      <c r="G106" s="2437" t="s">
        <v>2536</v>
      </c>
      <c r="H106" s="2437" t="s">
        <v>24</v>
      </c>
      <c r="I106" s="2437" t="s">
        <v>721</v>
      </c>
    </row>
    <row customHeight="1" ht="11.25">
      <c r="A107" s="2437" t="s">
        <v>2179</v>
      </c>
      <c r="B107" s="2437" t="s">
        <v>14</v>
      </c>
      <c r="C107" s="2437" t="s">
        <v>2537</v>
      </c>
      <c r="D107" s="2437" t="s">
        <v>2538</v>
      </c>
      <c r="E107" s="2437" t="s">
        <v>2539</v>
      </c>
      <c r="F107" s="2437" t="s">
        <v>2247</v>
      </c>
      <c r="G107" s="2437" t="s">
        <v>24</v>
      </c>
      <c r="H107" s="2437" t="s">
        <v>24</v>
      </c>
      <c r="I107" s="2437" t="s">
        <v>721</v>
      </c>
    </row>
    <row customHeight="1" ht="11.25">
      <c r="A108" s="2437" t="s">
        <v>2179</v>
      </c>
      <c r="B108" s="2437" t="s">
        <v>14</v>
      </c>
      <c r="C108" s="2437" t="s">
        <v>2540</v>
      </c>
      <c r="D108" s="2437" t="s">
        <v>2541</v>
      </c>
      <c r="E108" s="2437" t="s">
        <v>2542</v>
      </c>
      <c r="F108" s="2437" t="s">
        <v>2183</v>
      </c>
      <c r="G108" s="2437" t="s">
        <v>24</v>
      </c>
      <c r="H108" s="2437" t="s">
        <v>24</v>
      </c>
      <c r="I108" s="2437" t="s">
        <v>721</v>
      </c>
    </row>
    <row customHeight="1" ht="11.25">
      <c r="A109" s="2437" t="s">
        <v>2179</v>
      </c>
      <c r="B109" s="2437" t="s">
        <v>14</v>
      </c>
      <c r="C109" s="2437" t="s">
        <v>2543</v>
      </c>
      <c r="D109" s="2437" t="s">
        <v>2544</v>
      </c>
      <c r="E109" s="2437" t="s">
        <v>2545</v>
      </c>
      <c r="F109" s="2437" t="s">
        <v>2214</v>
      </c>
      <c r="G109" s="2437" t="s">
        <v>24</v>
      </c>
      <c r="H109" s="2437" t="s">
        <v>24</v>
      </c>
      <c r="I109" s="2437" t="s">
        <v>721</v>
      </c>
    </row>
    <row customHeight="1" ht="11.25">
      <c r="A110" s="2437" t="s">
        <v>2179</v>
      </c>
      <c r="B110" s="2437" t="s">
        <v>14</v>
      </c>
      <c r="C110" s="2437" t="s">
        <v>2546</v>
      </c>
      <c r="D110" s="2437" t="s">
        <v>2547</v>
      </c>
      <c r="E110" s="2437" t="s">
        <v>2548</v>
      </c>
      <c r="F110" s="2437" t="s">
        <v>2195</v>
      </c>
      <c r="G110" s="2437" t="s">
        <v>24</v>
      </c>
      <c r="H110" s="2437" t="s">
        <v>24</v>
      </c>
      <c r="I110" s="2437" t="s">
        <v>721</v>
      </c>
    </row>
    <row customHeight="1" ht="11.25">
      <c r="A111" s="2437" t="s">
        <v>2179</v>
      </c>
      <c r="B111" s="2437" t="s">
        <v>14</v>
      </c>
      <c r="C111" s="2437" t="s">
        <v>2549</v>
      </c>
      <c r="D111" s="2437" t="s">
        <v>2550</v>
      </c>
      <c r="E111" s="2437" t="s">
        <v>2551</v>
      </c>
      <c r="F111" s="2437" t="s">
        <v>2199</v>
      </c>
      <c r="G111" s="2437" t="s">
        <v>2552</v>
      </c>
      <c r="H111" s="2437" t="s">
        <v>24</v>
      </c>
      <c r="I111" s="2437" t="s">
        <v>721</v>
      </c>
    </row>
    <row customHeight="1" ht="11.25">
      <c r="A112" s="2437" t="s">
        <v>2179</v>
      </c>
      <c r="B112" s="2437" t="s">
        <v>14</v>
      </c>
      <c r="C112" s="2437" t="s">
        <v>2553</v>
      </c>
      <c r="D112" s="2437" t="s">
        <v>2554</v>
      </c>
      <c r="E112" s="2437" t="s">
        <v>2555</v>
      </c>
      <c r="F112" s="2437" t="s">
        <v>2187</v>
      </c>
      <c r="G112" s="2437" t="s">
        <v>24</v>
      </c>
      <c r="H112" s="2437" t="s">
        <v>24</v>
      </c>
      <c r="I112" s="2437" t="s">
        <v>721</v>
      </c>
    </row>
    <row customHeight="1" ht="11.25">
      <c r="A113" s="2437" t="s">
        <v>2179</v>
      </c>
      <c r="B113" s="2437" t="s">
        <v>14</v>
      </c>
      <c r="C113" s="2437" t="s">
        <v>2556</v>
      </c>
      <c r="D113" s="2437" t="s">
        <v>2557</v>
      </c>
      <c r="E113" s="2437" t="s">
        <v>2558</v>
      </c>
      <c r="F113" s="2437" t="s">
        <v>2195</v>
      </c>
      <c r="G113" s="2437" t="s">
        <v>2559</v>
      </c>
      <c r="H113" s="2437" t="s">
        <v>24</v>
      </c>
      <c r="I113" s="2437" t="s">
        <v>721</v>
      </c>
    </row>
    <row customHeight="1" ht="11.25">
      <c r="A114" s="2437" t="s">
        <v>2179</v>
      </c>
      <c r="B114" s="2437" t="s">
        <v>14</v>
      </c>
      <c r="C114" s="2437" t="s">
        <v>2560</v>
      </c>
      <c r="D114" s="2437" t="s">
        <v>2561</v>
      </c>
      <c r="E114" s="2437" t="s">
        <v>2562</v>
      </c>
      <c r="F114" s="2437" t="s">
        <v>2265</v>
      </c>
      <c r="G114" s="2437" t="s">
        <v>24</v>
      </c>
      <c r="H114" s="2437" t="s">
        <v>24</v>
      </c>
      <c r="I114" s="2437" t="s">
        <v>721</v>
      </c>
    </row>
    <row customHeight="1" ht="11.25">
      <c r="A115" s="2437" t="s">
        <v>2179</v>
      </c>
      <c r="B115" s="2437" t="s">
        <v>14</v>
      </c>
      <c r="C115" s="2437" t="s">
        <v>2563</v>
      </c>
      <c r="D115" s="2437" t="s">
        <v>2564</v>
      </c>
      <c r="E115" s="2437" t="s">
        <v>2565</v>
      </c>
      <c r="F115" s="2437" t="s">
        <v>2566</v>
      </c>
      <c r="G115" s="2437" t="s">
        <v>2567</v>
      </c>
      <c r="H115" s="2437" t="s">
        <v>24</v>
      </c>
      <c r="I115" s="2437" t="s">
        <v>721</v>
      </c>
    </row>
    <row customHeight="1" ht="11.25">
      <c r="A116" s="2437" t="s">
        <v>2179</v>
      </c>
      <c r="B116" s="2437" t="s">
        <v>14</v>
      </c>
      <c r="C116" s="2437" t="s">
        <v>2568</v>
      </c>
      <c r="D116" s="2437" t="s">
        <v>2569</v>
      </c>
      <c r="E116" s="2437" t="s">
        <v>2570</v>
      </c>
      <c r="F116" s="2437" t="s">
        <v>2571</v>
      </c>
      <c r="G116" s="2437" t="s">
        <v>24</v>
      </c>
      <c r="H116" s="2437" t="s">
        <v>24</v>
      </c>
      <c r="I116" s="2437" t="s">
        <v>721</v>
      </c>
    </row>
    <row customHeight="1" ht="11.25">
      <c r="A117" s="2437" t="s">
        <v>2179</v>
      </c>
      <c r="B117" s="2437" t="s">
        <v>14</v>
      </c>
      <c r="C117" s="2437" t="s">
        <v>2572</v>
      </c>
      <c r="D117" s="2437" t="s">
        <v>45</v>
      </c>
      <c r="E117" s="2437" t="s">
        <v>48</v>
      </c>
      <c r="F117" s="2437" t="s">
        <v>50</v>
      </c>
      <c r="G117" s="2437" t="s">
        <v>24</v>
      </c>
      <c r="H117" s="2437" t="s">
        <v>24</v>
      </c>
      <c r="I117" s="2437" t="s">
        <v>721</v>
      </c>
    </row>
    <row customHeight="1" ht="11.25">
      <c r="A118" s="2437" t="s">
        <v>2179</v>
      </c>
      <c r="B118" s="2437" t="s">
        <v>14</v>
      </c>
      <c r="C118" s="2437" t="s">
        <v>2573</v>
      </c>
      <c r="D118" s="2437" t="s">
        <v>2574</v>
      </c>
      <c r="E118" s="2437" t="s">
        <v>2575</v>
      </c>
      <c r="F118" s="2437" t="s">
        <v>2576</v>
      </c>
      <c r="G118" s="2437" t="s">
        <v>24</v>
      </c>
      <c r="H118" s="2437" t="s">
        <v>24</v>
      </c>
      <c r="I118" s="2437" t="s">
        <v>721</v>
      </c>
    </row>
    <row customHeight="1" ht="11.25">
      <c r="A119" s="2437" t="s">
        <v>2179</v>
      </c>
      <c r="B119" s="2437" t="s">
        <v>14</v>
      </c>
      <c r="C119" s="2437" t="s">
        <v>2577</v>
      </c>
      <c r="D119" s="2437" t="s">
        <v>2578</v>
      </c>
      <c r="E119" s="2437" t="s">
        <v>2579</v>
      </c>
      <c r="F119" s="2437" t="s">
        <v>2195</v>
      </c>
      <c r="G119" s="2437" t="s">
        <v>24</v>
      </c>
      <c r="H119" s="2437" t="s">
        <v>24</v>
      </c>
      <c r="I119" s="2437" t="s">
        <v>721</v>
      </c>
    </row>
    <row customHeight="1" ht="11.25">
      <c r="A120" s="2437" t="s">
        <v>2179</v>
      </c>
      <c r="B120" s="2437" t="s">
        <v>14</v>
      </c>
      <c r="C120" s="2437" t="s">
        <v>2580</v>
      </c>
      <c r="D120" s="2437" t="s">
        <v>2581</v>
      </c>
      <c r="E120" s="2437" t="s">
        <v>2582</v>
      </c>
      <c r="F120" s="2437" t="s">
        <v>2380</v>
      </c>
      <c r="G120" s="2437" t="s">
        <v>24</v>
      </c>
      <c r="H120" s="2437" t="s">
        <v>24</v>
      </c>
      <c r="I120" s="2437" t="s">
        <v>721</v>
      </c>
    </row>
    <row customHeight="1" ht="11.25">
      <c r="A121" s="2437" t="s">
        <v>2179</v>
      </c>
      <c r="B121" s="2437" t="s">
        <v>14</v>
      </c>
      <c r="C121" s="2437" t="s">
        <v>2583</v>
      </c>
      <c r="D121" s="2437" t="s">
        <v>2584</v>
      </c>
      <c r="E121" s="2437" t="s">
        <v>2585</v>
      </c>
      <c r="F121" s="2437" t="s">
        <v>50</v>
      </c>
      <c r="G121" s="2437" t="s">
        <v>24</v>
      </c>
      <c r="H121" s="2437" t="s">
        <v>2586</v>
      </c>
      <c r="I121" s="2437" t="s">
        <v>721</v>
      </c>
    </row>
    <row customHeight="1" ht="11.25">
      <c r="A122" s="2437" t="s">
        <v>2179</v>
      </c>
      <c r="B122" s="2437" t="s">
        <v>14</v>
      </c>
      <c r="C122" s="2437" t="s">
        <v>2587</v>
      </c>
      <c r="D122" s="2437" t="s">
        <v>2588</v>
      </c>
      <c r="E122" s="2437" t="s">
        <v>2589</v>
      </c>
      <c r="F122" s="2437" t="s">
        <v>50</v>
      </c>
      <c r="G122" s="2437" t="s">
        <v>24</v>
      </c>
      <c r="H122" s="2437" t="s">
        <v>24</v>
      </c>
      <c r="I122" s="2437" t="s">
        <v>721</v>
      </c>
    </row>
    <row customHeight="1" ht="11.25">
      <c r="A123" s="2437" t="s">
        <v>2179</v>
      </c>
      <c r="B123" s="2437" t="s">
        <v>14</v>
      </c>
      <c r="C123" s="2437" t="s">
        <v>2590</v>
      </c>
      <c r="D123" s="2437" t="s">
        <v>2591</v>
      </c>
      <c r="E123" s="2437" t="s">
        <v>2592</v>
      </c>
      <c r="F123" s="2437" t="s">
        <v>50</v>
      </c>
      <c r="G123" s="2437" t="s">
        <v>24</v>
      </c>
      <c r="H123" s="2437" t="s">
        <v>24</v>
      </c>
      <c r="I123" s="2437" t="s">
        <v>721</v>
      </c>
    </row>
    <row customHeight="1" ht="11.25">
      <c r="A124" s="2437" t="s">
        <v>2179</v>
      </c>
      <c r="B124" s="2437" t="s">
        <v>14</v>
      </c>
      <c r="C124" s="2437" t="s">
        <v>2593</v>
      </c>
      <c r="D124" s="2437" t="s">
        <v>2594</v>
      </c>
      <c r="E124" s="2437" t="s">
        <v>2595</v>
      </c>
      <c r="F124" s="2437" t="s">
        <v>50</v>
      </c>
      <c r="G124" s="2437" t="s">
        <v>24</v>
      </c>
      <c r="H124" s="2437" t="s">
        <v>24</v>
      </c>
      <c r="I124" s="2437" t="s">
        <v>721</v>
      </c>
    </row>
    <row customHeight="1" ht="11.25">
      <c r="A125" s="2437" t="s">
        <v>2179</v>
      </c>
      <c r="B125" s="2437" t="s">
        <v>14</v>
      </c>
      <c r="C125" s="2437" t="s">
        <v>2596</v>
      </c>
      <c r="D125" s="2437" t="s">
        <v>2597</v>
      </c>
      <c r="E125" s="2437" t="s">
        <v>2598</v>
      </c>
      <c r="F125" s="2437" t="s">
        <v>2195</v>
      </c>
      <c r="G125" s="2437" t="s">
        <v>24</v>
      </c>
      <c r="H125" s="2437" t="s">
        <v>24</v>
      </c>
      <c r="I125" s="2437" t="s">
        <v>721</v>
      </c>
    </row>
    <row customHeight="1" ht="11.25">
      <c r="A126" s="2437" t="s">
        <v>2179</v>
      </c>
      <c r="B126" s="2437" t="s">
        <v>14</v>
      </c>
      <c r="C126" s="2437" t="s">
        <v>2599</v>
      </c>
      <c r="D126" s="2437" t="s">
        <v>2600</v>
      </c>
      <c r="E126" s="2437" t="s">
        <v>2601</v>
      </c>
      <c r="F126" s="2437" t="s">
        <v>2195</v>
      </c>
      <c r="G126" s="2437" t="s">
        <v>24</v>
      </c>
      <c r="H126" s="2437" t="s">
        <v>24</v>
      </c>
      <c r="I126" s="2437" t="s">
        <v>721</v>
      </c>
    </row>
    <row customHeight="1" ht="11.25">
      <c r="A127" s="2437" t="s">
        <v>2179</v>
      </c>
      <c r="B127" s="2437" t="s">
        <v>14</v>
      </c>
      <c r="C127" s="2437" t="s">
        <v>2602</v>
      </c>
      <c r="D127" s="2437" t="s">
        <v>2603</v>
      </c>
      <c r="E127" s="2437" t="s">
        <v>2604</v>
      </c>
      <c r="F127" s="2437" t="s">
        <v>2576</v>
      </c>
      <c r="G127" s="2437" t="s">
        <v>24</v>
      </c>
      <c r="H127" s="2437" t="s">
        <v>24</v>
      </c>
      <c r="I127" s="2437" t="s">
        <v>721</v>
      </c>
    </row>
    <row customHeight="1" ht="11.25">
      <c r="A128" s="2437" t="s">
        <v>2179</v>
      </c>
      <c r="B128" s="2437" t="s">
        <v>14</v>
      </c>
      <c r="C128" s="2437" t="s">
        <v>2605</v>
      </c>
      <c r="D128" s="2437" t="s">
        <v>2606</v>
      </c>
      <c r="E128" s="2437" t="s">
        <v>2607</v>
      </c>
      <c r="F128" s="2437" t="s">
        <v>2195</v>
      </c>
      <c r="G128" s="2437" t="s">
        <v>2608</v>
      </c>
      <c r="H128" s="2437" t="s">
        <v>24</v>
      </c>
      <c r="I128" s="2437" t="s">
        <v>721</v>
      </c>
    </row>
    <row customHeight="1" ht="11.25">
      <c r="A129" s="2437" t="s">
        <v>2179</v>
      </c>
      <c r="B129" s="2437" t="s">
        <v>14</v>
      </c>
      <c r="C129" s="2437" t="s">
        <v>2609</v>
      </c>
      <c r="D129" s="2437" t="s">
        <v>2610</v>
      </c>
      <c r="E129" s="2437" t="s">
        <v>2611</v>
      </c>
      <c r="F129" s="2437" t="s">
        <v>2199</v>
      </c>
      <c r="G129" s="2437" t="s">
        <v>24</v>
      </c>
      <c r="H129" s="2437" t="s">
        <v>24</v>
      </c>
      <c r="I129" s="2437" t="s">
        <v>721</v>
      </c>
    </row>
    <row customHeight="1" ht="11.25">
      <c r="A130" s="2437" t="s">
        <v>2179</v>
      </c>
      <c r="B130" s="2437" t="s">
        <v>14</v>
      </c>
      <c r="C130" s="2437" t="s">
        <v>2612</v>
      </c>
      <c r="D130" s="2437" t="s">
        <v>2613</v>
      </c>
      <c r="E130" s="2437" t="s">
        <v>2614</v>
      </c>
      <c r="F130" s="2437" t="s">
        <v>2488</v>
      </c>
      <c r="G130" s="2437" t="s">
        <v>2615</v>
      </c>
      <c r="H130" s="2437" t="s">
        <v>24</v>
      </c>
      <c r="I130" s="2437" t="s">
        <v>721</v>
      </c>
    </row>
    <row customHeight="1" ht="11.25">
      <c r="A131" s="2437" t="s">
        <v>2179</v>
      </c>
      <c r="B131" s="2437" t="s">
        <v>14</v>
      </c>
      <c r="C131" s="2437" t="s">
        <v>2616</v>
      </c>
      <c r="D131" s="2437" t="s">
        <v>2617</v>
      </c>
      <c r="E131" s="2437" t="s">
        <v>2618</v>
      </c>
      <c r="F131" s="2437" t="s">
        <v>2344</v>
      </c>
      <c r="G131" s="2437" t="s">
        <v>24</v>
      </c>
      <c r="H131" s="2437" t="s">
        <v>24</v>
      </c>
      <c r="I131" s="2437" t="s">
        <v>721</v>
      </c>
    </row>
    <row customHeight="1" ht="11.25">
      <c r="A132" s="2437" t="s">
        <v>2179</v>
      </c>
      <c r="B132" s="2437" t="s">
        <v>14</v>
      </c>
      <c r="C132" s="2437" t="s">
        <v>2619</v>
      </c>
      <c r="D132" s="2437" t="s">
        <v>2620</v>
      </c>
      <c r="E132" s="2437" t="s">
        <v>2621</v>
      </c>
      <c r="F132" s="2437" t="s">
        <v>50</v>
      </c>
      <c r="G132" s="2437" t="s">
        <v>24</v>
      </c>
      <c r="H132" s="2437" t="s">
        <v>24</v>
      </c>
      <c r="I132" s="2437" t="s">
        <v>721</v>
      </c>
    </row>
    <row customHeight="1" ht="11.25">
      <c r="A133" s="2437" t="s">
        <v>2179</v>
      </c>
      <c r="B133" s="2437" t="s">
        <v>14</v>
      </c>
      <c r="C133" s="2437" t="s">
        <v>2622</v>
      </c>
      <c r="D133" s="2437" t="s">
        <v>2623</v>
      </c>
      <c r="E133" s="2437" t="s">
        <v>2624</v>
      </c>
      <c r="F133" s="2437" t="s">
        <v>2344</v>
      </c>
      <c r="G133" s="2437" t="s">
        <v>24</v>
      </c>
      <c r="H133" s="2437" t="s">
        <v>24</v>
      </c>
      <c r="I133" s="2437" t="s">
        <v>721</v>
      </c>
    </row>
    <row customHeight="1" ht="11.25">
      <c r="A134" s="2437" t="s">
        <v>2179</v>
      </c>
      <c r="B134" s="2437" t="s">
        <v>14</v>
      </c>
      <c r="C134" s="2437" t="s">
        <v>2625</v>
      </c>
      <c r="D134" s="2437" t="s">
        <v>2626</v>
      </c>
      <c r="E134" s="2437" t="s">
        <v>2627</v>
      </c>
      <c r="F134" s="2437" t="s">
        <v>2344</v>
      </c>
      <c r="G134" s="2437" t="s">
        <v>2628</v>
      </c>
      <c r="H134" s="2437" t="s">
        <v>24</v>
      </c>
      <c r="I134" s="2437" t="s">
        <v>721</v>
      </c>
    </row>
    <row customHeight="1" ht="11.25">
      <c r="A135" s="2437" t="s">
        <v>2179</v>
      </c>
      <c r="B135" s="2437" t="s">
        <v>14</v>
      </c>
      <c r="C135" s="2437" t="s">
        <v>2629</v>
      </c>
      <c r="D135" s="2437" t="s">
        <v>2630</v>
      </c>
      <c r="E135" s="2437" t="s">
        <v>2631</v>
      </c>
      <c r="F135" s="2437" t="s">
        <v>2210</v>
      </c>
      <c r="G135" s="2437" t="s">
        <v>24</v>
      </c>
      <c r="H135" s="2437" t="s">
        <v>24</v>
      </c>
      <c r="I135" s="2437" t="s">
        <v>721</v>
      </c>
    </row>
    <row customHeight="1" ht="11.25">
      <c r="A136" s="2437" t="s">
        <v>2179</v>
      </c>
      <c r="B136" s="2437" t="s">
        <v>14</v>
      </c>
      <c r="C136" s="2437" t="s">
        <v>2632</v>
      </c>
      <c r="D136" s="2437" t="s">
        <v>2633</v>
      </c>
      <c r="E136" s="2437" t="s">
        <v>2634</v>
      </c>
      <c r="F136" s="2437" t="s">
        <v>2372</v>
      </c>
      <c r="G136" s="2437" t="s">
        <v>24</v>
      </c>
      <c r="H136" s="2437" t="s">
        <v>24</v>
      </c>
      <c r="I136" s="2437" t="s">
        <v>721</v>
      </c>
    </row>
    <row customHeight="1" ht="11.25">
      <c r="A137" s="2437" t="s">
        <v>2179</v>
      </c>
      <c r="B137" s="2437" t="s">
        <v>14</v>
      </c>
      <c r="C137" s="2437" t="s">
        <v>2635</v>
      </c>
      <c r="D137" s="2437" t="s">
        <v>2636</v>
      </c>
      <c r="E137" s="2437" t="s">
        <v>2637</v>
      </c>
      <c r="F137" s="2437" t="s">
        <v>2576</v>
      </c>
      <c r="G137" s="2437" t="s">
        <v>24</v>
      </c>
      <c r="H137" s="2437" t="s">
        <v>24</v>
      </c>
      <c r="I137" s="2437" t="s">
        <v>721</v>
      </c>
    </row>
    <row customHeight="1" ht="11.25">
      <c r="A138" s="2437" t="s">
        <v>2179</v>
      </c>
      <c r="B138" s="2437" t="s">
        <v>14</v>
      </c>
      <c r="C138" s="2437" t="s">
        <v>2638</v>
      </c>
      <c r="D138" s="2437" t="s">
        <v>2639</v>
      </c>
      <c r="E138" s="2437" t="s">
        <v>2640</v>
      </c>
      <c r="F138" s="2437" t="s">
        <v>2488</v>
      </c>
      <c r="G138" s="2437" t="s">
        <v>24</v>
      </c>
      <c r="H138" s="2437" t="s">
        <v>24</v>
      </c>
      <c r="I138" s="2437" t="s">
        <v>721</v>
      </c>
    </row>
    <row customHeight="1" ht="11.25">
      <c r="A139" s="2437" t="s">
        <v>2179</v>
      </c>
      <c r="B139" s="2437" t="s">
        <v>14</v>
      </c>
      <c r="C139" s="2437" t="s">
        <v>2641</v>
      </c>
      <c r="D139" s="2437" t="s">
        <v>2642</v>
      </c>
      <c r="E139" s="2437" t="s">
        <v>2643</v>
      </c>
      <c r="F139" s="2437" t="s">
        <v>2265</v>
      </c>
      <c r="G139" s="2437" t="s">
        <v>24</v>
      </c>
      <c r="H139" s="2437" t="s">
        <v>24</v>
      </c>
      <c r="I139" s="2437" t="s">
        <v>721</v>
      </c>
    </row>
    <row customHeight="1" ht="11.25">
      <c r="A140" s="2437" t="s">
        <v>2179</v>
      </c>
      <c r="B140" s="2437" t="s">
        <v>14</v>
      </c>
      <c r="C140" s="2437" t="s">
        <v>2644</v>
      </c>
      <c r="D140" s="2437" t="s">
        <v>2645</v>
      </c>
      <c r="E140" s="2437" t="s">
        <v>2646</v>
      </c>
      <c r="F140" s="2437" t="s">
        <v>2376</v>
      </c>
      <c r="G140" s="2437" t="s">
        <v>24</v>
      </c>
      <c r="H140" s="2437" t="s">
        <v>24</v>
      </c>
      <c r="I140" s="2437" t="s">
        <v>721</v>
      </c>
    </row>
    <row customHeight="1" ht="11.25">
      <c r="A141" s="2437" t="s">
        <v>2179</v>
      </c>
      <c r="B141" s="2437" t="s">
        <v>14</v>
      </c>
      <c r="C141" s="2437" t="s">
        <v>2647</v>
      </c>
      <c r="D141" s="2437" t="s">
        <v>2648</v>
      </c>
      <c r="E141" s="2437" t="s">
        <v>2649</v>
      </c>
      <c r="F141" s="2437" t="s">
        <v>2650</v>
      </c>
      <c r="G141" s="2437" t="s">
        <v>24</v>
      </c>
      <c r="H141" s="2437" t="s">
        <v>24</v>
      </c>
      <c r="I141" s="2437" t="s">
        <v>721</v>
      </c>
    </row>
    <row customHeight="1" ht="11.25">
      <c r="A142" s="2437" t="s">
        <v>2179</v>
      </c>
      <c r="B142" s="2437" t="s">
        <v>14</v>
      </c>
      <c r="C142" s="2437" t="s">
        <v>2651</v>
      </c>
      <c r="D142" s="2437" t="s">
        <v>2652</v>
      </c>
      <c r="E142" s="2437" t="s">
        <v>2653</v>
      </c>
      <c r="F142" s="2437" t="s">
        <v>2187</v>
      </c>
      <c r="G142" s="2437" t="s">
        <v>24</v>
      </c>
      <c r="H142" s="2437" t="s">
        <v>24</v>
      </c>
      <c r="I142" s="2437" t="s">
        <v>721</v>
      </c>
    </row>
    <row customHeight="1" ht="11.25">
      <c r="A143" s="2437" t="s">
        <v>2179</v>
      </c>
      <c r="B143" s="2437" t="s">
        <v>14</v>
      </c>
      <c r="C143" s="2437" t="s">
        <v>2654</v>
      </c>
      <c r="D143" s="2437" t="s">
        <v>2655</v>
      </c>
      <c r="E143" s="2437" t="s">
        <v>2656</v>
      </c>
      <c r="F143" s="2437" t="s">
        <v>2187</v>
      </c>
      <c r="G143" s="2437" t="s">
        <v>24</v>
      </c>
      <c r="H143" s="2437" t="s">
        <v>24</v>
      </c>
      <c r="I143" s="2437" t="s">
        <v>721</v>
      </c>
    </row>
    <row customHeight="1" ht="11.25">
      <c r="A144" s="2437" t="s">
        <v>2179</v>
      </c>
      <c r="B144" s="2437" t="s">
        <v>14</v>
      </c>
      <c r="C144" s="2437" t="s">
        <v>2657</v>
      </c>
      <c r="D144" s="2437" t="s">
        <v>2658</v>
      </c>
      <c r="E144" s="2437" t="s">
        <v>2659</v>
      </c>
      <c r="F144" s="2437" t="s">
        <v>2247</v>
      </c>
      <c r="G144" s="2437" t="s">
        <v>24</v>
      </c>
      <c r="H144" s="2437" t="s">
        <v>24</v>
      </c>
      <c r="I144" s="2437" t="s">
        <v>721</v>
      </c>
    </row>
    <row customHeight="1" ht="11.25">
      <c r="A145" s="2437" t="s">
        <v>2179</v>
      </c>
      <c r="B145" s="2437" t="s">
        <v>14</v>
      </c>
      <c r="C145" s="2437" t="s">
        <v>2660</v>
      </c>
      <c r="D145" s="2437" t="s">
        <v>2661</v>
      </c>
      <c r="E145" s="2437" t="s">
        <v>2662</v>
      </c>
      <c r="F145" s="2437" t="s">
        <v>2576</v>
      </c>
      <c r="G145" s="2437" t="s">
        <v>24</v>
      </c>
      <c r="H145" s="2437" t="s">
        <v>24</v>
      </c>
      <c r="I145" s="2437" t="s">
        <v>721</v>
      </c>
    </row>
    <row customHeight="1" ht="11.25">
      <c r="A146" s="2437" t="s">
        <v>2179</v>
      </c>
      <c r="B146" s="2437" t="s">
        <v>14</v>
      </c>
      <c r="C146" s="2437" t="s">
        <v>2663</v>
      </c>
      <c r="D146" s="2437" t="s">
        <v>2664</v>
      </c>
      <c r="E146" s="2437" t="s">
        <v>2665</v>
      </c>
      <c r="F146" s="2437" t="s">
        <v>2199</v>
      </c>
      <c r="G146" s="2437" t="s">
        <v>24</v>
      </c>
      <c r="H146" s="2437" t="s">
        <v>24</v>
      </c>
      <c r="I146" s="2437" t="s">
        <v>721</v>
      </c>
    </row>
    <row customHeight="1" ht="11.25">
      <c r="A147" s="2437" t="s">
        <v>2179</v>
      </c>
      <c r="B147" s="2437" t="s">
        <v>14</v>
      </c>
      <c r="C147" s="2437" t="s">
        <v>2666</v>
      </c>
      <c r="D147" s="2437" t="s">
        <v>2667</v>
      </c>
      <c r="E147" s="2437" t="s">
        <v>2668</v>
      </c>
      <c r="F147" s="2437" t="s">
        <v>50</v>
      </c>
      <c r="G147" s="2437" t="s">
        <v>24</v>
      </c>
      <c r="H147" s="2437" t="s">
        <v>24</v>
      </c>
      <c r="I147" s="2437" t="s">
        <v>721</v>
      </c>
    </row>
    <row customHeight="1" ht="11.25">
      <c r="A148" s="2437" t="s">
        <v>2179</v>
      </c>
      <c r="B148" s="2437" t="s">
        <v>14</v>
      </c>
      <c r="C148" s="2437" t="s">
        <v>2669</v>
      </c>
      <c r="D148" s="2437" t="s">
        <v>2670</v>
      </c>
      <c r="E148" s="2437" t="s">
        <v>2671</v>
      </c>
      <c r="F148" s="2437" t="s">
        <v>2282</v>
      </c>
      <c r="G148" s="2437" t="s">
        <v>24</v>
      </c>
      <c r="H148" s="2437" t="s">
        <v>24</v>
      </c>
      <c r="I148" s="2437" t="s">
        <v>721</v>
      </c>
    </row>
    <row customHeight="1" ht="11.25">
      <c r="A149" s="2437" t="s">
        <v>2179</v>
      </c>
      <c r="B149" s="2437" t="s">
        <v>14</v>
      </c>
      <c r="C149" s="2437" t="s">
        <v>2672</v>
      </c>
      <c r="D149" s="2437" t="s">
        <v>2673</v>
      </c>
      <c r="E149" s="2437" t="s">
        <v>2674</v>
      </c>
      <c r="F149" s="2437" t="s">
        <v>2372</v>
      </c>
      <c r="G149" s="2437" t="s">
        <v>24</v>
      </c>
      <c r="H149" s="2437" t="s">
        <v>24</v>
      </c>
      <c r="I149" s="2437" t="s">
        <v>721</v>
      </c>
    </row>
    <row customHeight="1" ht="11.25">
      <c r="A150" s="2437" t="s">
        <v>2179</v>
      </c>
      <c r="B150" s="2437" t="s">
        <v>14</v>
      </c>
      <c r="C150" s="2437" t="s">
        <v>2675</v>
      </c>
      <c r="D150" s="2437" t="s">
        <v>2676</v>
      </c>
      <c r="E150" s="2437" t="s">
        <v>2677</v>
      </c>
      <c r="F150" s="2437" t="s">
        <v>2195</v>
      </c>
      <c r="G150" s="2437" t="s">
        <v>24</v>
      </c>
      <c r="H150" s="2437" t="s">
        <v>24</v>
      </c>
      <c r="I150" s="2437" t="s">
        <v>721</v>
      </c>
    </row>
    <row customHeight="1" ht="11.25">
      <c r="A151" s="2437" t="s">
        <v>2179</v>
      </c>
      <c r="B151" s="2437" t="s">
        <v>14</v>
      </c>
      <c r="C151" s="2437" t="s">
        <v>2678</v>
      </c>
      <c r="D151" s="2437" t="s">
        <v>2676</v>
      </c>
      <c r="E151" s="2437" t="s">
        <v>2677</v>
      </c>
      <c r="F151" s="2437" t="s">
        <v>2214</v>
      </c>
      <c r="G151" s="2437" t="s">
        <v>24</v>
      </c>
      <c r="H151" s="2437" t="s">
        <v>24</v>
      </c>
      <c r="I151" s="2437" t="s">
        <v>721</v>
      </c>
    </row>
    <row customHeight="1" ht="11.25">
      <c r="A152" s="2437" t="s">
        <v>2179</v>
      </c>
      <c r="B152" s="2437" t="s">
        <v>14</v>
      </c>
      <c r="C152" s="2437" t="s">
        <v>2679</v>
      </c>
      <c r="D152" s="2437" t="s">
        <v>2680</v>
      </c>
      <c r="E152" s="2437" t="s">
        <v>2681</v>
      </c>
      <c r="F152" s="2437" t="s">
        <v>2183</v>
      </c>
      <c r="G152" s="2437" t="s">
        <v>24</v>
      </c>
      <c r="H152" s="2437" t="s">
        <v>24</v>
      </c>
      <c r="I152" s="2437" t="s">
        <v>721</v>
      </c>
    </row>
    <row customHeight="1" ht="11.25">
      <c r="A153" s="2437" t="s">
        <v>2179</v>
      </c>
      <c r="B153" s="2437" t="s">
        <v>14</v>
      </c>
      <c r="C153" s="2437" t="s">
        <v>2682</v>
      </c>
      <c r="D153" s="2437" t="s">
        <v>2683</v>
      </c>
      <c r="E153" s="2437" t="s">
        <v>2684</v>
      </c>
      <c r="F153" s="2437" t="s">
        <v>2187</v>
      </c>
      <c r="G153" s="2437" t="s">
        <v>24</v>
      </c>
      <c r="H153" s="2437" t="s">
        <v>24</v>
      </c>
      <c r="I153" s="2437" t="s">
        <v>721</v>
      </c>
    </row>
    <row customHeight="1" ht="11.25">
      <c r="A154" s="2437" t="s">
        <v>2179</v>
      </c>
      <c r="B154" s="2437" t="s">
        <v>14</v>
      </c>
      <c r="C154" s="2437" t="s">
        <v>2685</v>
      </c>
      <c r="D154" s="2437" t="s">
        <v>2686</v>
      </c>
      <c r="E154" s="2437" t="s">
        <v>2687</v>
      </c>
      <c r="F154" s="2437" t="s">
        <v>2576</v>
      </c>
      <c r="G154" s="2437" t="s">
        <v>24</v>
      </c>
      <c r="H154" s="2437" t="s">
        <v>24</v>
      </c>
      <c r="I154" s="2437" t="s">
        <v>721</v>
      </c>
    </row>
    <row customHeight="1" ht="11.25">
      <c r="A155" s="2437" t="s">
        <v>2179</v>
      </c>
      <c r="B155" s="2437" t="s">
        <v>14</v>
      </c>
      <c r="C155" s="2437" t="s">
        <v>2688</v>
      </c>
      <c r="D155" s="2437" t="s">
        <v>2689</v>
      </c>
      <c r="E155" s="2437" t="s">
        <v>2690</v>
      </c>
      <c r="F155" s="2437" t="s">
        <v>2210</v>
      </c>
      <c r="G155" s="2437" t="s">
        <v>24</v>
      </c>
      <c r="H155" s="2437" t="s">
        <v>24</v>
      </c>
      <c r="I155" s="2437" t="s">
        <v>721</v>
      </c>
    </row>
    <row customHeight="1" ht="11.25">
      <c r="A156" s="2437" t="s">
        <v>2179</v>
      </c>
      <c r="B156" s="2437" t="s">
        <v>14</v>
      </c>
      <c r="C156" s="2437" t="s">
        <v>2691</v>
      </c>
      <c r="D156" s="2437" t="s">
        <v>2692</v>
      </c>
      <c r="E156" s="2437" t="s">
        <v>2693</v>
      </c>
      <c r="F156" s="2437" t="s">
        <v>2576</v>
      </c>
      <c r="G156" s="2437" t="s">
        <v>24</v>
      </c>
      <c r="H156" s="2437" t="s">
        <v>24</v>
      </c>
      <c r="I156" s="2437" t="s">
        <v>721</v>
      </c>
    </row>
    <row customHeight="1" ht="11.25">
      <c r="A157" s="2437" t="s">
        <v>2179</v>
      </c>
      <c r="B157" s="2437" t="s">
        <v>14</v>
      </c>
      <c r="C157" s="2437" t="s">
        <v>2694</v>
      </c>
      <c r="D157" s="2437" t="s">
        <v>2695</v>
      </c>
      <c r="E157" s="2437" t="s">
        <v>2696</v>
      </c>
      <c r="F157" s="2437" t="s">
        <v>2187</v>
      </c>
      <c r="G157" s="2437" t="s">
        <v>2697</v>
      </c>
      <c r="H157" s="2437" t="s">
        <v>24</v>
      </c>
      <c r="I157" s="2437" t="s">
        <v>721</v>
      </c>
    </row>
    <row customHeight="1" ht="11.25">
      <c r="A158" s="2437" t="s">
        <v>2179</v>
      </c>
      <c r="B158" s="2437" t="s">
        <v>14</v>
      </c>
      <c r="C158" s="2437" t="s">
        <v>2698</v>
      </c>
      <c r="D158" s="2437" t="s">
        <v>2699</v>
      </c>
      <c r="E158" s="2437" t="s">
        <v>2700</v>
      </c>
      <c r="F158" s="2437" t="s">
        <v>2221</v>
      </c>
      <c r="G158" s="2437" t="s">
        <v>24</v>
      </c>
      <c r="H158" s="2437" t="s">
        <v>24</v>
      </c>
      <c r="I158" s="2437" t="s">
        <v>721</v>
      </c>
    </row>
    <row customHeight="1" ht="11.25">
      <c r="A159" s="2437" t="s">
        <v>2179</v>
      </c>
      <c r="B159" s="2437" t="s">
        <v>14</v>
      </c>
      <c r="C159" s="2437" t="s">
        <v>2701</v>
      </c>
      <c r="D159" s="2437" t="s">
        <v>2702</v>
      </c>
      <c r="E159" s="2437" t="s">
        <v>2703</v>
      </c>
      <c r="F159" s="2437" t="s">
        <v>2323</v>
      </c>
      <c r="G159" s="2437" t="s">
        <v>24</v>
      </c>
      <c r="H159" s="2437" t="s">
        <v>24</v>
      </c>
      <c r="I159" s="2437" t="s">
        <v>721</v>
      </c>
    </row>
    <row customHeight="1" ht="11.25">
      <c r="A160" s="2437" t="s">
        <v>2179</v>
      </c>
      <c r="B160" s="2437" t="s">
        <v>14</v>
      </c>
      <c r="C160" s="2437" t="s">
        <v>2704</v>
      </c>
      <c r="D160" s="2437" t="s">
        <v>2705</v>
      </c>
      <c r="E160" s="2437" t="s">
        <v>2706</v>
      </c>
      <c r="F160" s="2437" t="s">
        <v>2707</v>
      </c>
      <c r="G160" s="2437" t="s">
        <v>24</v>
      </c>
      <c r="H160" s="2437" t="s">
        <v>24</v>
      </c>
      <c r="I160" s="2437" t="s">
        <v>721</v>
      </c>
    </row>
    <row customHeight="1" ht="11.25">
      <c r="A161" s="2437" t="s">
        <v>2179</v>
      </c>
      <c r="B161" s="2437" t="s">
        <v>14</v>
      </c>
      <c r="C161" s="2437" t="s">
        <v>2708</v>
      </c>
      <c r="D161" s="2437" t="s">
        <v>2709</v>
      </c>
      <c r="E161" s="2437" t="s">
        <v>2706</v>
      </c>
      <c r="F161" s="2437" t="s">
        <v>2187</v>
      </c>
      <c r="G161" s="2437" t="s">
        <v>24</v>
      </c>
      <c r="H161" s="2437" t="s">
        <v>24</v>
      </c>
      <c r="I161" s="2437" t="s">
        <v>721</v>
      </c>
    </row>
    <row customHeight="1" ht="11.25">
      <c r="A162" s="2437" t="s">
        <v>2179</v>
      </c>
      <c r="B162" s="2437" t="s">
        <v>14</v>
      </c>
      <c r="C162" s="2437" t="s">
        <v>2710</v>
      </c>
      <c r="D162" s="2437" t="s">
        <v>2711</v>
      </c>
      <c r="E162" s="2437" t="s">
        <v>2712</v>
      </c>
      <c r="F162" s="2437" t="s">
        <v>50</v>
      </c>
      <c r="G162" s="2437" t="s">
        <v>24</v>
      </c>
      <c r="H162" s="2437" t="s">
        <v>24</v>
      </c>
      <c r="I162" s="2437" t="s">
        <v>721</v>
      </c>
    </row>
    <row customHeight="1" ht="11.25">
      <c r="A163" s="2437" t="s">
        <v>2179</v>
      </c>
      <c r="B163" s="2437" t="s">
        <v>14</v>
      </c>
      <c r="C163" s="2437" t="s">
        <v>2713</v>
      </c>
      <c r="D163" s="2437" t="s">
        <v>2714</v>
      </c>
      <c r="E163" s="2437" t="s">
        <v>2715</v>
      </c>
      <c r="F163" s="2437" t="s">
        <v>2183</v>
      </c>
      <c r="G163" s="2437" t="s">
        <v>24</v>
      </c>
      <c r="H163" s="2437" t="s">
        <v>24</v>
      </c>
      <c r="I163" s="2437" t="s">
        <v>721</v>
      </c>
    </row>
    <row customHeight="1" ht="11.25">
      <c r="A164" s="2437" t="s">
        <v>2179</v>
      </c>
      <c r="B164" s="2437" t="s">
        <v>14</v>
      </c>
      <c r="C164" s="2437" t="s">
        <v>2716</v>
      </c>
      <c r="D164" s="2437" t="s">
        <v>2717</v>
      </c>
      <c r="E164" s="2437" t="s">
        <v>2718</v>
      </c>
      <c r="F164" s="2437" t="s">
        <v>2376</v>
      </c>
      <c r="G164" s="2437" t="s">
        <v>24</v>
      </c>
      <c r="H164" s="2437" t="s">
        <v>24</v>
      </c>
      <c r="I164" s="2437" t="s">
        <v>721</v>
      </c>
    </row>
    <row customHeight="1" ht="11.25">
      <c r="A165" s="2437" t="s">
        <v>2179</v>
      </c>
      <c r="B165" s="2437" t="s">
        <v>14</v>
      </c>
      <c r="C165" s="2437" t="s">
        <v>2719</v>
      </c>
      <c r="D165" s="2437" t="s">
        <v>2720</v>
      </c>
      <c r="E165" s="2437" t="s">
        <v>2721</v>
      </c>
      <c r="F165" s="2437" t="s">
        <v>2376</v>
      </c>
      <c r="G165" s="2437" t="s">
        <v>24</v>
      </c>
      <c r="H165" s="2437" t="s">
        <v>24</v>
      </c>
      <c r="I165" s="2437" t="s">
        <v>721</v>
      </c>
    </row>
    <row customHeight="1" ht="11.25">
      <c r="A166" s="2437" t="s">
        <v>2179</v>
      </c>
      <c r="B166" s="2437" t="s">
        <v>14</v>
      </c>
      <c r="C166" s="2437" t="s">
        <v>2722</v>
      </c>
      <c r="D166" s="2437" t="s">
        <v>2723</v>
      </c>
      <c r="E166" s="2437" t="s">
        <v>2724</v>
      </c>
      <c r="F166" s="2437" t="s">
        <v>2191</v>
      </c>
      <c r="G166" s="2437" t="s">
        <v>24</v>
      </c>
      <c r="H166" s="2437" t="s">
        <v>24</v>
      </c>
      <c r="I166" s="2437" t="s">
        <v>721</v>
      </c>
    </row>
    <row customHeight="1" ht="11.25">
      <c r="A167" s="2437" t="s">
        <v>2179</v>
      </c>
      <c r="B167" s="2437" t="s">
        <v>14</v>
      </c>
      <c r="C167" s="2437" t="s">
        <v>2725</v>
      </c>
      <c r="D167" s="2437" t="s">
        <v>2726</v>
      </c>
      <c r="E167" s="2437" t="s">
        <v>2727</v>
      </c>
      <c r="F167" s="2437" t="s">
        <v>2187</v>
      </c>
      <c r="G167" s="2437" t="s">
        <v>24</v>
      </c>
      <c r="H167" s="2437" t="s">
        <v>24</v>
      </c>
      <c r="I167" s="2437" t="s">
        <v>721</v>
      </c>
    </row>
    <row customHeight="1" ht="11.25">
      <c r="A168" s="2437" t="s">
        <v>2179</v>
      </c>
      <c r="B168" s="2437" t="s">
        <v>14</v>
      </c>
      <c r="C168" s="2437" t="s">
        <v>2728</v>
      </c>
      <c r="D168" s="2437" t="s">
        <v>2729</v>
      </c>
      <c r="E168" s="2437" t="s">
        <v>2730</v>
      </c>
      <c r="F168" s="2437" t="s">
        <v>2247</v>
      </c>
      <c r="G168" s="2437" t="s">
        <v>24</v>
      </c>
      <c r="H168" s="2437" t="s">
        <v>24</v>
      </c>
      <c r="I168" s="2437" t="s">
        <v>721</v>
      </c>
    </row>
    <row customHeight="1" ht="11.25">
      <c r="A169" s="2437" t="s">
        <v>2179</v>
      </c>
      <c r="B169" s="2437" t="s">
        <v>14</v>
      </c>
      <c r="C169" s="2437" t="s">
        <v>2731</v>
      </c>
      <c r="D169" s="2437" t="s">
        <v>2732</v>
      </c>
      <c r="E169" s="2437" t="s">
        <v>2733</v>
      </c>
      <c r="F169" s="2437" t="s">
        <v>2488</v>
      </c>
      <c r="G169" s="2437" t="s">
        <v>24</v>
      </c>
      <c r="H169" s="2437" t="s">
        <v>24</v>
      </c>
      <c r="I169" s="2437" t="s">
        <v>721</v>
      </c>
    </row>
    <row customHeight="1" ht="11.25">
      <c r="A170" s="2437" t="s">
        <v>2179</v>
      </c>
      <c r="B170" s="2437" t="s">
        <v>14</v>
      </c>
      <c r="C170" s="2437" t="s">
        <v>2734</v>
      </c>
      <c r="D170" s="2437" t="s">
        <v>2735</v>
      </c>
      <c r="E170" s="2437" t="s">
        <v>2736</v>
      </c>
      <c r="F170" s="2437" t="s">
        <v>2183</v>
      </c>
      <c r="G170" s="2437" t="s">
        <v>24</v>
      </c>
      <c r="H170" s="2437" t="s">
        <v>24</v>
      </c>
      <c r="I170" s="2437" t="s">
        <v>721</v>
      </c>
    </row>
    <row customHeight="1" ht="11.25">
      <c r="A171" s="2437" t="s">
        <v>2179</v>
      </c>
      <c r="B171" s="2437" t="s">
        <v>14</v>
      </c>
      <c r="C171" s="2437" t="s">
        <v>2737</v>
      </c>
      <c r="D171" s="2437" t="s">
        <v>2738</v>
      </c>
      <c r="E171" s="2437" t="s">
        <v>2739</v>
      </c>
      <c r="F171" s="2437" t="s">
        <v>2488</v>
      </c>
      <c r="G171" s="2437" t="s">
        <v>24</v>
      </c>
      <c r="H171" s="2437" t="s">
        <v>24</v>
      </c>
      <c r="I171" s="2437" t="s">
        <v>721</v>
      </c>
    </row>
    <row customHeight="1" ht="11.25">
      <c r="A172" s="2437" t="s">
        <v>2179</v>
      </c>
      <c r="B172" s="2437" t="s">
        <v>14</v>
      </c>
      <c r="C172" s="2437" t="s">
        <v>2740</v>
      </c>
      <c r="D172" s="2437" t="s">
        <v>2741</v>
      </c>
      <c r="E172" s="2437" t="s">
        <v>2742</v>
      </c>
      <c r="F172" s="2437" t="s">
        <v>50</v>
      </c>
      <c r="G172" s="2437" t="s">
        <v>24</v>
      </c>
      <c r="H172" s="2437" t="s">
        <v>24</v>
      </c>
      <c r="I172" s="2437" t="s">
        <v>721</v>
      </c>
    </row>
    <row customHeight="1" ht="11.25">
      <c r="A173" s="2437" t="s">
        <v>2179</v>
      </c>
      <c r="B173" s="2437" t="s">
        <v>14</v>
      </c>
      <c r="C173" s="2437" t="s">
        <v>2743</v>
      </c>
      <c r="D173" s="2437" t="s">
        <v>2744</v>
      </c>
      <c r="E173" s="2437" t="s">
        <v>2745</v>
      </c>
      <c r="F173" s="2437" t="s">
        <v>2746</v>
      </c>
      <c r="G173" s="2437" t="s">
        <v>24</v>
      </c>
      <c r="H173" s="2437" t="s">
        <v>24</v>
      </c>
      <c r="I173" s="2437" t="s">
        <v>721</v>
      </c>
    </row>
    <row customHeight="1" ht="11.25">
      <c r="A174" s="2437" t="s">
        <v>2179</v>
      </c>
      <c r="B174" s="2437" t="s">
        <v>14</v>
      </c>
      <c r="C174" s="2437" t="s">
        <v>2747</v>
      </c>
      <c r="D174" s="2437" t="s">
        <v>2748</v>
      </c>
      <c r="E174" s="2437" t="s">
        <v>2749</v>
      </c>
      <c r="F174" s="2437" t="s">
        <v>2187</v>
      </c>
      <c r="G174" s="2437" t="s">
        <v>24</v>
      </c>
      <c r="H174" s="2437" t="s">
        <v>24</v>
      </c>
      <c r="I174" s="2437" t="s">
        <v>721</v>
      </c>
    </row>
    <row customHeight="1" ht="11.25">
      <c r="A175" s="2437" t="s">
        <v>2179</v>
      </c>
      <c r="B175" s="2437" t="s">
        <v>14</v>
      </c>
      <c r="C175" s="2437" t="s">
        <v>2750</v>
      </c>
      <c r="D175" s="2437" t="s">
        <v>2751</v>
      </c>
      <c r="E175" s="2437" t="s">
        <v>2752</v>
      </c>
      <c r="F175" s="2437" t="s">
        <v>2214</v>
      </c>
      <c r="G175" s="2437" t="s">
        <v>24</v>
      </c>
      <c r="H175" s="2437" t="s">
        <v>24</v>
      </c>
      <c r="I175" s="2437" t="s">
        <v>721</v>
      </c>
    </row>
    <row customHeight="1" ht="11.25">
      <c r="A176" s="2437" t="s">
        <v>2179</v>
      </c>
      <c r="B176" s="2437" t="s">
        <v>14</v>
      </c>
      <c r="C176" s="2437" t="s">
        <v>2753</v>
      </c>
      <c r="D176" s="2437" t="s">
        <v>2754</v>
      </c>
      <c r="E176" s="2437" t="s">
        <v>2755</v>
      </c>
      <c r="F176" s="2437" t="s">
        <v>2376</v>
      </c>
      <c r="G176" s="2437" t="s">
        <v>24</v>
      </c>
      <c r="H176" s="2437" t="s">
        <v>2756</v>
      </c>
      <c r="I176" s="2437" t="s">
        <v>721</v>
      </c>
    </row>
    <row customHeight="1" ht="11.25">
      <c r="A177" s="2437" t="s">
        <v>2179</v>
      </c>
      <c r="B177" s="2437" t="s">
        <v>14</v>
      </c>
      <c r="C177" s="2437" t="s">
        <v>2757</v>
      </c>
      <c r="D177" s="2437" t="s">
        <v>2758</v>
      </c>
      <c r="E177" s="2437" t="s">
        <v>2759</v>
      </c>
      <c r="F177" s="2437" t="s">
        <v>2760</v>
      </c>
      <c r="G177" s="2437" t="s">
        <v>24</v>
      </c>
      <c r="H177" s="2437" t="s">
        <v>24</v>
      </c>
      <c r="I177" s="2437" t="s">
        <v>721</v>
      </c>
    </row>
    <row customHeight="1" ht="11.25">
      <c r="A178" s="2437" t="s">
        <v>2179</v>
      </c>
      <c r="B178" s="2437" t="s">
        <v>14</v>
      </c>
      <c r="C178" s="2437" t="s">
        <v>2761</v>
      </c>
      <c r="D178" s="2437" t="s">
        <v>2762</v>
      </c>
      <c r="E178" s="2437" t="s">
        <v>2745</v>
      </c>
      <c r="F178" s="2437" t="s">
        <v>2399</v>
      </c>
      <c r="G178" s="2437" t="s">
        <v>24</v>
      </c>
      <c r="H178" s="2437" t="s">
        <v>24</v>
      </c>
      <c r="I178" s="2437" t="s">
        <v>721</v>
      </c>
    </row>
    <row customHeight="1" ht="11.25">
      <c r="A179" s="2437" t="s">
        <v>2179</v>
      </c>
      <c r="B179" s="2437" t="s">
        <v>14</v>
      </c>
      <c r="C179" s="2437" t="s">
        <v>2192</v>
      </c>
      <c r="D179" s="2437" t="s">
        <v>2193</v>
      </c>
      <c r="E179" s="2437" t="s">
        <v>2194</v>
      </c>
      <c r="F179" s="2437" t="s">
        <v>2195</v>
      </c>
      <c r="G179" s="2437" t="s">
        <v>24</v>
      </c>
      <c r="H179" s="2437" t="s">
        <v>24</v>
      </c>
      <c r="I179" s="2437" t="s">
        <v>805</v>
      </c>
    </row>
    <row customHeight="1" ht="11.25">
      <c r="A180" s="2437" t="s">
        <v>2179</v>
      </c>
      <c r="B180" s="2437" t="s">
        <v>14</v>
      </c>
      <c r="C180" s="2437" t="s">
        <v>2200</v>
      </c>
      <c r="D180" s="2437" t="s">
        <v>2201</v>
      </c>
      <c r="E180" s="2437" t="s">
        <v>2202</v>
      </c>
      <c r="F180" s="2437" t="s">
        <v>2191</v>
      </c>
      <c r="G180" s="2437" t="s">
        <v>24</v>
      </c>
      <c r="H180" s="2437" t="s">
        <v>2203</v>
      </c>
      <c r="I180" s="2437" t="s">
        <v>805</v>
      </c>
    </row>
    <row customHeight="1" ht="11.25">
      <c r="A181" s="2437" t="s">
        <v>2179</v>
      </c>
      <c r="B181" s="2437" t="s">
        <v>14</v>
      </c>
      <c r="C181" s="2437" t="s">
        <v>2211</v>
      </c>
      <c r="D181" s="2437" t="s">
        <v>2212</v>
      </c>
      <c r="E181" s="2437" t="s">
        <v>2213</v>
      </c>
      <c r="F181" s="2437" t="s">
        <v>2214</v>
      </c>
      <c r="G181" s="2437" t="s">
        <v>24</v>
      </c>
      <c r="H181" s="2437" t="s">
        <v>24</v>
      </c>
      <c r="I181" s="2437" t="s">
        <v>805</v>
      </c>
    </row>
    <row customHeight="1" ht="11.25">
      <c r="A182" s="2437" t="s">
        <v>2179</v>
      </c>
      <c r="B182" s="2437" t="s">
        <v>14</v>
      </c>
      <c r="C182" s="2437" t="s">
        <v>2215</v>
      </c>
      <c r="D182" s="2437" t="s">
        <v>2216</v>
      </c>
      <c r="E182" s="2437" t="s">
        <v>2217</v>
      </c>
      <c r="F182" s="2437" t="s">
        <v>2218</v>
      </c>
      <c r="G182" s="2437" t="s">
        <v>2219</v>
      </c>
      <c r="H182" s="2437" t="s">
        <v>24</v>
      </c>
      <c r="I182" s="2437" t="s">
        <v>805</v>
      </c>
    </row>
    <row customHeight="1" ht="11.25">
      <c r="A183" s="2437" t="s">
        <v>2179</v>
      </c>
      <c r="B183" s="2437" t="s">
        <v>14</v>
      </c>
      <c r="C183" s="2437" t="s">
        <v>2220</v>
      </c>
      <c r="D183" s="2437" t="s">
        <v>2216</v>
      </c>
      <c r="E183" s="2437" t="s">
        <v>2217</v>
      </c>
      <c r="F183" s="2437" t="s">
        <v>2221</v>
      </c>
      <c r="G183" s="2437" t="s">
        <v>24</v>
      </c>
      <c r="H183" s="2437" t="s">
        <v>24</v>
      </c>
      <c r="I183" s="2437" t="s">
        <v>805</v>
      </c>
    </row>
    <row customHeight="1" ht="11.25">
      <c r="A184" s="2437" t="s">
        <v>2179</v>
      </c>
      <c r="B184" s="2437" t="s">
        <v>14</v>
      </c>
      <c r="C184" s="2437" t="s">
        <v>2222</v>
      </c>
      <c r="D184" s="2437" t="s">
        <v>2223</v>
      </c>
      <c r="E184" s="2437" t="s">
        <v>2224</v>
      </c>
      <c r="F184" s="2437" t="s">
        <v>50</v>
      </c>
      <c r="G184" s="2437" t="s">
        <v>24</v>
      </c>
      <c r="H184" s="2437" t="s">
        <v>24</v>
      </c>
      <c r="I184" s="2437" t="s">
        <v>805</v>
      </c>
    </row>
    <row customHeight="1" ht="11.25">
      <c r="A185" s="2437" t="s">
        <v>2179</v>
      </c>
      <c r="B185" s="2437" t="s">
        <v>14</v>
      </c>
      <c r="C185" s="2437" t="s">
        <v>2255</v>
      </c>
      <c r="D185" s="2437" t="s">
        <v>2256</v>
      </c>
      <c r="E185" s="2437" t="s">
        <v>2257</v>
      </c>
      <c r="F185" s="2437" t="s">
        <v>2191</v>
      </c>
      <c r="G185" s="2437" t="s">
        <v>24</v>
      </c>
      <c r="H185" s="2437" t="s">
        <v>24</v>
      </c>
      <c r="I185" s="2437" t="s">
        <v>805</v>
      </c>
    </row>
    <row customHeight="1" ht="11.25">
      <c r="A186" s="2437" t="s">
        <v>2179</v>
      </c>
      <c r="B186" s="2437" t="s">
        <v>14</v>
      </c>
      <c r="C186" s="2437" t="s">
        <v>2266</v>
      </c>
      <c r="D186" s="2437" t="s">
        <v>2267</v>
      </c>
      <c r="E186" s="2437" t="s">
        <v>2268</v>
      </c>
      <c r="F186" s="2437" t="s">
        <v>2183</v>
      </c>
      <c r="G186" s="2437" t="s">
        <v>24</v>
      </c>
      <c r="H186" s="2437" t="s">
        <v>24</v>
      </c>
      <c r="I186" s="2437" t="s">
        <v>805</v>
      </c>
    </row>
    <row customHeight="1" ht="11.25">
      <c r="A187" s="2437" t="s">
        <v>2179</v>
      </c>
      <c r="B187" s="2437" t="s">
        <v>14</v>
      </c>
      <c r="C187" s="2437" t="s">
        <v>2294</v>
      </c>
      <c r="D187" s="2437" t="s">
        <v>2295</v>
      </c>
      <c r="E187" s="2437" t="s">
        <v>2296</v>
      </c>
      <c r="F187" s="2437" t="s">
        <v>2297</v>
      </c>
      <c r="G187" s="2437" t="s">
        <v>24</v>
      </c>
      <c r="H187" s="2437" t="s">
        <v>24</v>
      </c>
      <c r="I187" s="2437" t="s">
        <v>805</v>
      </c>
    </row>
    <row customHeight="1" ht="11.25">
      <c r="A188" s="2437" t="s">
        <v>2179</v>
      </c>
      <c r="B188" s="2437" t="s">
        <v>14</v>
      </c>
      <c r="C188" s="2437" t="s">
        <v>2324</v>
      </c>
      <c r="D188" s="2437" t="s">
        <v>2325</v>
      </c>
      <c r="E188" s="2437" t="s">
        <v>2326</v>
      </c>
      <c r="F188" s="2437" t="s">
        <v>2183</v>
      </c>
      <c r="G188" s="2437" t="s">
        <v>24</v>
      </c>
      <c r="H188" s="2437" t="s">
        <v>24</v>
      </c>
      <c r="I188" s="2437" t="s">
        <v>805</v>
      </c>
    </row>
    <row customHeight="1" ht="11.25">
      <c r="A189" s="2437" t="s">
        <v>2179</v>
      </c>
      <c r="B189" s="2437" t="s">
        <v>14</v>
      </c>
      <c r="C189" s="2437" t="s">
        <v>2330</v>
      </c>
      <c r="D189" s="2437" t="s">
        <v>2331</v>
      </c>
      <c r="E189" s="2437" t="s">
        <v>2217</v>
      </c>
      <c r="F189" s="2437" t="s">
        <v>2332</v>
      </c>
      <c r="G189" s="2437" t="s">
        <v>2333</v>
      </c>
      <c r="H189" s="2437" t="s">
        <v>24</v>
      </c>
      <c r="I189" s="2437" t="s">
        <v>805</v>
      </c>
    </row>
    <row customHeight="1" ht="11.25">
      <c r="A190" s="2437" t="s">
        <v>2179</v>
      </c>
      <c r="B190" s="2437" t="s">
        <v>14</v>
      </c>
      <c r="C190" s="2437" t="s">
        <v>2338</v>
      </c>
      <c r="D190" s="2437" t="s">
        <v>2339</v>
      </c>
      <c r="E190" s="2437" t="s">
        <v>2340</v>
      </c>
      <c r="F190" s="2437" t="s">
        <v>50</v>
      </c>
      <c r="G190" s="2437" t="s">
        <v>24</v>
      </c>
      <c r="H190" s="2437" t="s">
        <v>24</v>
      </c>
      <c r="I190" s="2437" t="s">
        <v>805</v>
      </c>
    </row>
    <row customHeight="1" ht="11.25">
      <c r="A191" s="2437" t="s">
        <v>2179</v>
      </c>
      <c r="B191" s="2437" t="s">
        <v>14</v>
      </c>
      <c r="C191" s="2437" t="s">
        <v>2345</v>
      </c>
      <c r="D191" s="2437" t="s">
        <v>2346</v>
      </c>
      <c r="E191" s="2437" t="s">
        <v>2347</v>
      </c>
      <c r="F191" s="2437" t="s">
        <v>2191</v>
      </c>
      <c r="G191" s="2437" t="s">
        <v>24</v>
      </c>
      <c r="H191" s="2437" t="s">
        <v>24</v>
      </c>
      <c r="I191" s="2437" t="s">
        <v>805</v>
      </c>
    </row>
    <row customHeight="1" ht="11.25">
      <c r="A192" s="2437" t="s">
        <v>2179</v>
      </c>
      <c r="B192" s="2437" t="s">
        <v>14</v>
      </c>
      <c r="C192" s="2437" t="s">
        <v>2360</v>
      </c>
      <c r="D192" s="2437" t="s">
        <v>2361</v>
      </c>
      <c r="E192" s="2437" t="s">
        <v>2362</v>
      </c>
      <c r="F192" s="2437" t="s">
        <v>2251</v>
      </c>
      <c r="G192" s="2437" t="s">
        <v>24</v>
      </c>
      <c r="H192" s="2437" t="s">
        <v>24</v>
      </c>
      <c r="I192" s="2437" t="s">
        <v>805</v>
      </c>
    </row>
    <row customHeight="1" ht="11.25">
      <c r="A193" s="2437" t="s">
        <v>2179</v>
      </c>
      <c r="B193" s="2437" t="s">
        <v>14</v>
      </c>
      <c r="C193" s="2437" t="s">
        <v>2400</v>
      </c>
      <c r="D193" s="2437" t="s">
        <v>2401</v>
      </c>
      <c r="E193" s="2437" t="s">
        <v>2402</v>
      </c>
      <c r="F193" s="2437" t="s">
        <v>2191</v>
      </c>
      <c r="G193" s="2437" t="s">
        <v>24</v>
      </c>
      <c r="H193" s="2437" t="s">
        <v>24</v>
      </c>
      <c r="I193" s="2437" t="s">
        <v>805</v>
      </c>
    </row>
    <row customHeight="1" ht="11.25">
      <c r="A194" s="2437" t="s">
        <v>2179</v>
      </c>
      <c r="B194" s="2437" t="s">
        <v>14</v>
      </c>
      <c r="C194" s="2437" t="s">
        <v>2446</v>
      </c>
      <c r="D194" s="2437" t="s">
        <v>2447</v>
      </c>
      <c r="E194" s="2437" t="s">
        <v>2448</v>
      </c>
      <c r="F194" s="2437" t="s">
        <v>2344</v>
      </c>
      <c r="G194" s="2437" t="s">
        <v>24</v>
      </c>
      <c r="H194" s="2437" t="s">
        <v>24</v>
      </c>
      <c r="I194" s="2437" t="s">
        <v>805</v>
      </c>
    </row>
    <row customHeight="1" ht="11.25">
      <c r="A195" s="2437" t="s">
        <v>2179</v>
      </c>
      <c r="B195" s="2437" t="s">
        <v>14</v>
      </c>
      <c r="C195" s="2437" t="s">
        <v>2458</v>
      </c>
      <c r="D195" s="2437" t="s">
        <v>2459</v>
      </c>
      <c r="E195" s="2437" t="s">
        <v>2460</v>
      </c>
      <c r="F195" s="2437" t="s">
        <v>2461</v>
      </c>
      <c r="G195" s="2437" t="s">
        <v>2462</v>
      </c>
      <c r="H195" s="2437" t="s">
        <v>24</v>
      </c>
      <c r="I195" s="2437" t="s">
        <v>805</v>
      </c>
    </row>
    <row customHeight="1" ht="11.25">
      <c r="A196" s="2437" t="s">
        <v>2179</v>
      </c>
      <c r="B196" s="2437" t="s">
        <v>14</v>
      </c>
      <c r="C196" s="2437" t="s">
        <v>2509</v>
      </c>
      <c r="D196" s="2437" t="s">
        <v>2510</v>
      </c>
      <c r="E196" s="2437" t="s">
        <v>2511</v>
      </c>
      <c r="F196" s="2437" t="s">
        <v>2210</v>
      </c>
      <c r="G196" s="2437" t="s">
        <v>24</v>
      </c>
      <c r="H196" s="2437" t="s">
        <v>24</v>
      </c>
      <c r="I196" s="2437" t="s">
        <v>805</v>
      </c>
    </row>
    <row customHeight="1" ht="11.25">
      <c r="A197" s="2437" t="s">
        <v>2179</v>
      </c>
      <c r="B197" s="2437" t="s">
        <v>14</v>
      </c>
      <c r="C197" s="2437" t="s">
        <v>2512</v>
      </c>
      <c r="D197" s="2437" t="s">
        <v>2513</v>
      </c>
      <c r="E197" s="2437" t="s">
        <v>2514</v>
      </c>
      <c r="F197" s="2437" t="s">
        <v>2282</v>
      </c>
      <c r="G197" s="2437" t="s">
        <v>24</v>
      </c>
      <c r="H197" s="2437" t="s">
        <v>24</v>
      </c>
      <c r="I197" s="2437" t="s">
        <v>805</v>
      </c>
    </row>
    <row customHeight="1" ht="11.25">
      <c r="A198" s="2437" t="s">
        <v>2179</v>
      </c>
      <c r="B198" s="2437" t="s">
        <v>14</v>
      </c>
      <c r="C198" s="2437" t="s">
        <v>2521</v>
      </c>
      <c r="D198" s="2437" t="s">
        <v>2522</v>
      </c>
      <c r="E198" s="2437" t="s">
        <v>2523</v>
      </c>
      <c r="F198" s="2437" t="s">
        <v>2524</v>
      </c>
      <c r="G198" s="2437" t="s">
        <v>2525</v>
      </c>
      <c r="H198" s="2437" t="s">
        <v>24</v>
      </c>
      <c r="I198" s="2437" t="s">
        <v>805</v>
      </c>
    </row>
    <row customHeight="1" ht="11.25">
      <c r="A199" s="2437" t="s">
        <v>2179</v>
      </c>
      <c r="B199" s="2437" t="s">
        <v>14</v>
      </c>
      <c r="C199" s="2437" t="s">
        <v>2526</v>
      </c>
      <c r="D199" s="2437" t="s">
        <v>2522</v>
      </c>
      <c r="E199" s="2437" t="s">
        <v>2523</v>
      </c>
      <c r="F199" s="2437" t="s">
        <v>2527</v>
      </c>
      <c r="G199" s="2437" t="s">
        <v>24</v>
      </c>
      <c r="H199" s="2437" t="s">
        <v>24</v>
      </c>
      <c r="I199" s="2437" t="s">
        <v>805</v>
      </c>
    </row>
    <row customHeight="1" ht="11.25">
      <c r="A200" s="2437" t="s">
        <v>2179</v>
      </c>
      <c r="B200" s="2437" t="s">
        <v>14</v>
      </c>
      <c r="C200" s="2437" t="s">
        <v>2532</v>
      </c>
      <c r="D200" s="2437" t="s">
        <v>2533</v>
      </c>
      <c r="E200" s="2437" t="s">
        <v>2534</v>
      </c>
      <c r="F200" s="2437" t="s">
        <v>2535</v>
      </c>
      <c r="G200" s="2437" t="s">
        <v>2536</v>
      </c>
      <c r="H200" s="2437" t="s">
        <v>24</v>
      </c>
      <c r="I200" s="2437" t="s">
        <v>805</v>
      </c>
    </row>
    <row customHeight="1" ht="11.25">
      <c r="A201" s="2437" t="s">
        <v>2179</v>
      </c>
      <c r="B201" s="2437" t="s">
        <v>14</v>
      </c>
      <c r="C201" s="2437" t="s">
        <v>2546</v>
      </c>
      <c r="D201" s="2437" t="s">
        <v>2547</v>
      </c>
      <c r="E201" s="2437" t="s">
        <v>2548</v>
      </c>
      <c r="F201" s="2437" t="s">
        <v>2195</v>
      </c>
      <c r="G201" s="2437" t="s">
        <v>24</v>
      </c>
      <c r="H201" s="2437" t="s">
        <v>24</v>
      </c>
      <c r="I201" s="2437" t="s">
        <v>805</v>
      </c>
    </row>
    <row customHeight="1" ht="11.25">
      <c r="A202" s="2437" t="s">
        <v>2179</v>
      </c>
      <c r="B202" s="2437" t="s">
        <v>14</v>
      </c>
      <c r="C202" s="2437" t="s">
        <v>2549</v>
      </c>
      <c r="D202" s="2437" t="s">
        <v>2550</v>
      </c>
      <c r="E202" s="2437" t="s">
        <v>2551</v>
      </c>
      <c r="F202" s="2437" t="s">
        <v>2199</v>
      </c>
      <c r="G202" s="2437" t="s">
        <v>2552</v>
      </c>
      <c r="H202" s="2437" t="s">
        <v>24</v>
      </c>
      <c r="I202" s="2437" t="s">
        <v>805</v>
      </c>
    </row>
    <row customHeight="1" ht="11.25">
      <c r="A203" s="2437" t="s">
        <v>2179</v>
      </c>
      <c r="B203" s="2437" t="s">
        <v>14</v>
      </c>
      <c r="C203" s="2437" t="s">
        <v>2560</v>
      </c>
      <c r="D203" s="2437" t="s">
        <v>2561</v>
      </c>
      <c r="E203" s="2437" t="s">
        <v>2562</v>
      </c>
      <c r="F203" s="2437" t="s">
        <v>2265</v>
      </c>
      <c r="G203" s="2437" t="s">
        <v>24</v>
      </c>
      <c r="H203" s="2437" t="s">
        <v>24</v>
      </c>
      <c r="I203" s="2437" t="s">
        <v>805</v>
      </c>
    </row>
    <row customHeight="1" ht="11.25">
      <c r="A204" s="2437" t="s">
        <v>2179</v>
      </c>
      <c r="B204" s="2437" t="s">
        <v>14</v>
      </c>
      <c r="C204" s="2437" t="s">
        <v>2572</v>
      </c>
      <c r="D204" s="2437" t="s">
        <v>45</v>
      </c>
      <c r="E204" s="2437" t="s">
        <v>48</v>
      </c>
      <c r="F204" s="2437" t="s">
        <v>50</v>
      </c>
      <c r="G204" s="2437" t="s">
        <v>24</v>
      </c>
      <c r="H204" s="2437" t="s">
        <v>24</v>
      </c>
      <c r="I204" s="2437" t="s">
        <v>805</v>
      </c>
    </row>
    <row customHeight="1" ht="11.25">
      <c r="A205" s="2437" t="s">
        <v>2179</v>
      </c>
      <c r="B205" s="2437" t="s">
        <v>14</v>
      </c>
      <c r="C205" s="2437" t="s">
        <v>2573</v>
      </c>
      <c r="D205" s="2437" t="s">
        <v>2574</v>
      </c>
      <c r="E205" s="2437" t="s">
        <v>2575</v>
      </c>
      <c r="F205" s="2437" t="s">
        <v>2576</v>
      </c>
      <c r="G205" s="2437" t="s">
        <v>24</v>
      </c>
      <c r="H205" s="2437" t="s">
        <v>24</v>
      </c>
      <c r="I205" s="2437" t="s">
        <v>805</v>
      </c>
    </row>
    <row customHeight="1" ht="11.25">
      <c r="A206" s="2437" t="s">
        <v>2179</v>
      </c>
      <c r="B206" s="2437" t="s">
        <v>14</v>
      </c>
      <c r="C206" s="2437" t="s">
        <v>2602</v>
      </c>
      <c r="D206" s="2437" t="s">
        <v>2603</v>
      </c>
      <c r="E206" s="2437" t="s">
        <v>2604</v>
      </c>
      <c r="F206" s="2437" t="s">
        <v>2576</v>
      </c>
      <c r="G206" s="2437" t="s">
        <v>24</v>
      </c>
      <c r="H206" s="2437" t="s">
        <v>24</v>
      </c>
      <c r="I206" s="2437" t="s">
        <v>805</v>
      </c>
    </row>
    <row customHeight="1" ht="11.25">
      <c r="A207" s="2437" t="s">
        <v>2179</v>
      </c>
      <c r="B207" s="2437" t="s">
        <v>14</v>
      </c>
      <c r="C207" s="2437" t="s">
        <v>2609</v>
      </c>
      <c r="D207" s="2437" t="s">
        <v>2610</v>
      </c>
      <c r="E207" s="2437" t="s">
        <v>2611</v>
      </c>
      <c r="F207" s="2437" t="s">
        <v>2199</v>
      </c>
      <c r="G207" s="2437" t="s">
        <v>24</v>
      </c>
      <c r="H207" s="2437" t="s">
        <v>24</v>
      </c>
      <c r="I207" s="2437" t="s">
        <v>805</v>
      </c>
    </row>
    <row customHeight="1" ht="11.25">
      <c r="A208" s="2437" t="s">
        <v>2179</v>
      </c>
      <c r="B208" s="2437" t="s">
        <v>14</v>
      </c>
      <c r="C208" s="2437" t="s">
        <v>2632</v>
      </c>
      <c r="D208" s="2437" t="s">
        <v>2633</v>
      </c>
      <c r="E208" s="2437" t="s">
        <v>2634</v>
      </c>
      <c r="F208" s="2437" t="s">
        <v>2372</v>
      </c>
      <c r="G208" s="2437" t="s">
        <v>24</v>
      </c>
      <c r="H208" s="2437" t="s">
        <v>24</v>
      </c>
      <c r="I208" s="2437" t="s">
        <v>805</v>
      </c>
    </row>
    <row customHeight="1" ht="11.25">
      <c r="A209" s="2437" t="s">
        <v>2179</v>
      </c>
      <c r="B209" s="2437" t="s">
        <v>14</v>
      </c>
      <c r="C209" s="2437" t="s">
        <v>2641</v>
      </c>
      <c r="D209" s="2437" t="s">
        <v>2642</v>
      </c>
      <c r="E209" s="2437" t="s">
        <v>2643</v>
      </c>
      <c r="F209" s="2437" t="s">
        <v>2265</v>
      </c>
      <c r="G209" s="2437" t="s">
        <v>24</v>
      </c>
      <c r="H209" s="2437" t="s">
        <v>24</v>
      </c>
      <c r="I209" s="2437" t="s">
        <v>805</v>
      </c>
    </row>
    <row customHeight="1" ht="11.25">
      <c r="A210" s="2437" t="s">
        <v>2179</v>
      </c>
      <c r="B210" s="2437" t="s">
        <v>14</v>
      </c>
      <c r="C210" s="2437" t="s">
        <v>2675</v>
      </c>
      <c r="D210" s="2437" t="s">
        <v>2676</v>
      </c>
      <c r="E210" s="2437" t="s">
        <v>2677</v>
      </c>
      <c r="F210" s="2437" t="s">
        <v>2195</v>
      </c>
      <c r="G210" s="2437" t="s">
        <v>24</v>
      </c>
      <c r="H210" s="2437" t="s">
        <v>24</v>
      </c>
      <c r="I210" s="2437" t="s">
        <v>805</v>
      </c>
    </row>
    <row customHeight="1" ht="11.25">
      <c r="A211" s="2437" t="s">
        <v>2179</v>
      </c>
      <c r="B211" s="2437" t="s">
        <v>14</v>
      </c>
      <c r="C211" s="2437" t="s">
        <v>2682</v>
      </c>
      <c r="D211" s="2437" t="s">
        <v>2683</v>
      </c>
      <c r="E211" s="2437" t="s">
        <v>2684</v>
      </c>
      <c r="F211" s="2437" t="s">
        <v>2187</v>
      </c>
      <c r="G211" s="2437" t="s">
        <v>24</v>
      </c>
      <c r="H211" s="2437" t="s">
        <v>24</v>
      </c>
      <c r="I211" s="2437" t="s">
        <v>805</v>
      </c>
    </row>
    <row customHeight="1" ht="11.25">
      <c r="A212" s="2437" t="s">
        <v>2179</v>
      </c>
      <c r="B212" s="2437" t="s">
        <v>14</v>
      </c>
      <c r="C212" s="2437" t="s">
        <v>2685</v>
      </c>
      <c r="D212" s="2437" t="s">
        <v>2686</v>
      </c>
      <c r="E212" s="2437" t="s">
        <v>2687</v>
      </c>
      <c r="F212" s="2437" t="s">
        <v>2576</v>
      </c>
      <c r="G212" s="2437" t="s">
        <v>24</v>
      </c>
      <c r="H212" s="2437" t="s">
        <v>24</v>
      </c>
      <c r="I212" s="2437" t="s">
        <v>805</v>
      </c>
    </row>
    <row customHeight="1" ht="11.25">
      <c r="A213" s="2437" t="s">
        <v>2179</v>
      </c>
      <c r="B213" s="2437" t="s">
        <v>14</v>
      </c>
      <c r="C213" s="2437" t="s">
        <v>2701</v>
      </c>
      <c r="D213" s="2437" t="s">
        <v>2702</v>
      </c>
      <c r="E213" s="2437" t="s">
        <v>2703</v>
      </c>
      <c r="F213" s="2437" t="s">
        <v>2323</v>
      </c>
      <c r="G213" s="2437" t="s">
        <v>24</v>
      </c>
      <c r="H213" s="2437" t="s">
        <v>24</v>
      </c>
      <c r="I213" s="2437" t="s">
        <v>805</v>
      </c>
    </row>
    <row customHeight="1" ht="11.25">
      <c r="A214" s="2437" t="s">
        <v>2179</v>
      </c>
      <c r="B214" s="2437" t="s">
        <v>14</v>
      </c>
      <c r="C214" s="2437" t="s">
        <v>2708</v>
      </c>
      <c r="D214" s="2437" t="s">
        <v>2709</v>
      </c>
      <c r="E214" s="2437" t="s">
        <v>2706</v>
      </c>
      <c r="F214" s="2437" t="s">
        <v>2187</v>
      </c>
      <c r="G214" s="2437" t="s">
        <v>24</v>
      </c>
      <c r="H214" s="2437" t="s">
        <v>24</v>
      </c>
      <c r="I214" s="2437" t="s">
        <v>805</v>
      </c>
    </row>
    <row customHeight="1" ht="11.25">
      <c r="A215" s="2437" t="s">
        <v>2179</v>
      </c>
      <c r="B215" s="2437" t="s">
        <v>14</v>
      </c>
      <c r="C215" s="2437" t="s">
        <v>2713</v>
      </c>
      <c r="D215" s="2437" t="s">
        <v>2714</v>
      </c>
      <c r="E215" s="2437" t="s">
        <v>2715</v>
      </c>
      <c r="F215" s="2437" t="s">
        <v>2183</v>
      </c>
      <c r="G215" s="2437" t="s">
        <v>24</v>
      </c>
      <c r="H215" s="2437" t="s">
        <v>24</v>
      </c>
      <c r="I215" s="2437" t="s">
        <v>805</v>
      </c>
    </row>
    <row customHeight="1" ht="11.25">
      <c r="A216" s="2437" t="s">
        <v>2179</v>
      </c>
      <c r="B216" s="2437" t="s">
        <v>14</v>
      </c>
      <c r="C216" s="2437" t="s">
        <v>2716</v>
      </c>
      <c r="D216" s="2437" t="s">
        <v>2717</v>
      </c>
      <c r="E216" s="2437" t="s">
        <v>2718</v>
      </c>
      <c r="F216" s="2437" t="s">
        <v>2376</v>
      </c>
      <c r="G216" s="2437" t="s">
        <v>24</v>
      </c>
      <c r="H216" s="2437" t="s">
        <v>24</v>
      </c>
      <c r="I216" s="2437" t="s">
        <v>805</v>
      </c>
    </row>
    <row customHeight="1" ht="11.25">
      <c r="A217" s="2437" t="s">
        <v>2179</v>
      </c>
      <c r="B217" s="2437" t="s">
        <v>14</v>
      </c>
      <c r="C217" s="2437" t="s">
        <v>2728</v>
      </c>
      <c r="D217" s="2437" t="s">
        <v>2729</v>
      </c>
      <c r="E217" s="2437" t="s">
        <v>2730</v>
      </c>
      <c r="F217" s="2437" t="s">
        <v>2247</v>
      </c>
      <c r="G217" s="2437" t="s">
        <v>24</v>
      </c>
      <c r="H217" s="2437" t="s">
        <v>24</v>
      </c>
      <c r="I217" s="2437" t="s">
        <v>805</v>
      </c>
    </row>
    <row customHeight="1" ht="11.25">
      <c r="A218" s="2437" t="s">
        <v>2179</v>
      </c>
      <c r="B218" s="2437" t="s">
        <v>14</v>
      </c>
      <c r="C218" s="2437" t="s">
        <v>2737</v>
      </c>
      <c r="D218" s="2437" t="s">
        <v>2738</v>
      </c>
      <c r="E218" s="2437" t="s">
        <v>2739</v>
      </c>
      <c r="F218" s="2437" t="s">
        <v>2488</v>
      </c>
      <c r="G218" s="2437" t="s">
        <v>24</v>
      </c>
      <c r="H218" s="2437" t="s">
        <v>24</v>
      </c>
      <c r="I218" s="2437" t="s">
        <v>805</v>
      </c>
    </row>
    <row customHeight="1" ht="11.25">
      <c r="A219" s="2437" t="s">
        <v>2179</v>
      </c>
      <c r="B219" s="2437" t="s">
        <v>14</v>
      </c>
      <c r="C219" s="2437" t="s">
        <v>2743</v>
      </c>
      <c r="D219" s="2437" t="s">
        <v>2744</v>
      </c>
      <c r="E219" s="2437" t="s">
        <v>2745</v>
      </c>
      <c r="F219" s="2437" t="s">
        <v>2746</v>
      </c>
      <c r="G219" s="2437" t="s">
        <v>24</v>
      </c>
      <c r="H219" s="2437" t="s">
        <v>24</v>
      </c>
      <c r="I219" s="2437" t="s">
        <v>805</v>
      </c>
    </row>
    <row customHeight="1" ht="11.25">
      <c r="A220" s="2437" t="s">
        <v>2179</v>
      </c>
      <c r="B220" s="2437" t="s">
        <v>14</v>
      </c>
      <c r="C220" s="2437" t="s">
        <v>2761</v>
      </c>
      <c r="D220" s="2437" t="s">
        <v>2762</v>
      </c>
      <c r="E220" s="2437" t="s">
        <v>2745</v>
      </c>
      <c r="F220" s="2437" t="s">
        <v>2399</v>
      </c>
      <c r="G220" s="2437" t="s">
        <v>24</v>
      </c>
      <c r="H220" s="2437" t="s">
        <v>24</v>
      </c>
      <c r="I220" s="2437" t="s">
        <v>805</v>
      </c>
    </row>
    <row customHeight="1" ht="11.25">
      <c r="A221" s="2437" t="s">
        <v>2179</v>
      </c>
      <c r="B221" s="2437" t="s">
        <v>14</v>
      </c>
      <c r="C221" s="2437" t="s">
        <v>2180</v>
      </c>
      <c r="D221" s="2437" t="s">
        <v>2181</v>
      </c>
      <c r="E221" s="2437" t="s">
        <v>2182</v>
      </c>
      <c r="F221" s="2437" t="s">
        <v>2183</v>
      </c>
      <c r="G221" s="2437" t="s">
        <v>24</v>
      </c>
      <c r="H221" s="2437" t="s">
        <v>24</v>
      </c>
      <c r="I221" s="2437" t="s">
        <v>767</v>
      </c>
    </row>
    <row customHeight="1" ht="11.25">
      <c r="A222" s="2437" t="s">
        <v>2179</v>
      </c>
      <c r="B222" s="2437" t="s">
        <v>14</v>
      </c>
      <c r="C222" s="2437" t="s">
        <v>2188</v>
      </c>
      <c r="D222" s="2437" t="s">
        <v>2189</v>
      </c>
      <c r="E222" s="2437" t="s">
        <v>2190</v>
      </c>
      <c r="F222" s="2437" t="s">
        <v>2191</v>
      </c>
      <c r="G222" s="2437" t="s">
        <v>24</v>
      </c>
      <c r="H222" s="2437" t="s">
        <v>24</v>
      </c>
      <c r="I222" s="2437" t="s">
        <v>767</v>
      </c>
    </row>
    <row customHeight="1" ht="11.25">
      <c r="A223" s="2437" t="s">
        <v>2179</v>
      </c>
      <c r="B223" s="2437" t="s">
        <v>14</v>
      </c>
      <c r="C223" s="2437" t="s">
        <v>2207</v>
      </c>
      <c r="D223" s="2437" t="s">
        <v>2208</v>
      </c>
      <c r="E223" s="2437" t="s">
        <v>2209</v>
      </c>
      <c r="F223" s="2437" t="s">
        <v>2210</v>
      </c>
      <c r="G223" s="2437" t="s">
        <v>24</v>
      </c>
      <c r="H223" s="2437" t="s">
        <v>24</v>
      </c>
      <c r="I223" s="2437" t="s">
        <v>767</v>
      </c>
    </row>
    <row customHeight="1" ht="11.25">
      <c r="A224" s="2437" t="s">
        <v>2179</v>
      </c>
      <c r="B224" s="2437" t="s">
        <v>14</v>
      </c>
      <c r="C224" s="2437" t="s">
        <v>2763</v>
      </c>
      <c r="D224" s="2437" t="s">
        <v>2764</v>
      </c>
      <c r="E224" s="2437" t="s">
        <v>2765</v>
      </c>
      <c r="F224" s="2437" t="s">
        <v>2214</v>
      </c>
      <c r="G224" s="2437" t="s">
        <v>24</v>
      </c>
      <c r="H224" s="2437" t="s">
        <v>24</v>
      </c>
      <c r="I224" s="2437" t="s">
        <v>767</v>
      </c>
    </row>
    <row customHeight="1" ht="11.25">
      <c r="A225" s="2437" t="s">
        <v>2179</v>
      </c>
      <c r="B225" s="2437" t="s">
        <v>14</v>
      </c>
      <c r="C225" s="2437" t="s">
        <v>2215</v>
      </c>
      <c r="D225" s="2437" t="s">
        <v>2216</v>
      </c>
      <c r="E225" s="2437" t="s">
        <v>2217</v>
      </c>
      <c r="F225" s="2437" t="s">
        <v>2218</v>
      </c>
      <c r="G225" s="2437" t="s">
        <v>2219</v>
      </c>
      <c r="H225" s="2437" t="s">
        <v>24</v>
      </c>
      <c r="I225" s="2437" t="s">
        <v>767</v>
      </c>
    </row>
    <row customHeight="1" ht="11.25">
      <c r="A226" s="2437" t="s">
        <v>2179</v>
      </c>
      <c r="B226" s="2437" t="s">
        <v>14</v>
      </c>
      <c r="C226" s="2437" t="s">
        <v>2220</v>
      </c>
      <c r="D226" s="2437" t="s">
        <v>2216</v>
      </c>
      <c r="E226" s="2437" t="s">
        <v>2217</v>
      </c>
      <c r="F226" s="2437" t="s">
        <v>2221</v>
      </c>
      <c r="G226" s="2437" t="s">
        <v>24</v>
      </c>
      <c r="H226" s="2437" t="s">
        <v>24</v>
      </c>
      <c r="I226" s="2437" t="s">
        <v>767</v>
      </c>
    </row>
    <row customHeight="1" ht="11.25">
      <c r="A227" s="2437" t="s">
        <v>2179</v>
      </c>
      <c r="B227" s="2437" t="s">
        <v>14</v>
      </c>
      <c r="C227" s="2437" t="s">
        <v>2241</v>
      </c>
      <c r="D227" s="2437" t="s">
        <v>2242</v>
      </c>
      <c r="E227" s="2437" t="s">
        <v>2243</v>
      </c>
      <c r="F227" s="2437" t="s">
        <v>2183</v>
      </c>
      <c r="G227" s="2437" t="s">
        <v>24</v>
      </c>
      <c r="H227" s="2437" t="s">
        <v>24</v>
      </c>
      <c r="I227" s="2437" t="s">
        <v>767</v>
      </c>
    </row>
    <row customHeight="1" ht="11.25">
      <c r="A228" s="2437" t="s">
        <v>2179</v>
      </c>
      <c r="B228" s="2437" t="s">
        <v>14</v>
      </c>
      <c r="C228" s="2437" t="s">
        <v>2255</v>
      </c>
      <c r="D228" s="2437" t="s">
        <v>2256</v>
      </c>
      <c r="E228" s="2437" t="s">
        <v>2257</v>
      </c>
      <c r="F228" s="2437" t="s">
        <v>2191</v>
      </c>
      <c r="G228" s="2437" t="s">
        <v>24</v>
      </c>
      <c r="H228" s="2437" t="s">
        <v>24</v>
      </c>
      <c r="I228" s="2437" t="s">
        <v>767</v>
      </c>
    </row>
    <row customHeight="1" ht="11.25">
      <c r="A229" s="2437" t="s">
        <v>2179</v>
      </c>
      <c r="B229" s="2437" t="s">
        <v>14</v>
      </c>
      <c r="C229" s="2437" t="s">
        <v>2266</v>
      </c>
      <c r="D229" s="2437" t="s">
        <v>2267</v>
      </c>
      <c r="E229" s="2437" t="s">
        <v>2268</v>
      </c>
      <c r="F229" s="2437" t="s">
        <v>2183</v>
      </c>
      <c r="G229" s="2437" t="s">
        <v>24</v>
      </c>
      <c r="H229" s="2437" t="s">
        <v>24</v>
      </c>
      <c r="I229" s="2437" t="s">
        <v>767</v>
      </c>
    </row>
    <row customHeight="1" ht="11.25">
      <c r="A230" s="2437" t="s">
        <v>2179</v>
      </c>
      <c r="B230" s="2437" t="s">
        <v>14</v>
      </c>
      <c r="C230" s="2437" t="s">
        <v>2283</v>
      </c>
      <c r="D230" s="2437" t="s">
        <v>2284</v>
      </c>
      <c r="E230" s="2437" t="s">
        <v>2285</v>
      </c>
      <c r="F230" s="2437" t="s">
        <v>2286</v>
      </c>
      <c r="G230" s="2437" t="s">
        <v>24</v>
      </c>
      <c r="H230" s="2437" t="s">
        <v>24</v>
      </c>
      <c r="I230" s="2437" t="s">
        <v>767</v>
      </c>
    </row>
    <row customHeight="1" ht="11.25">
      <c r="A231" s="2437" t="s">
        <v>2179</v>
      </c>
      <c r="B231" s="2437" t="s">
        <v>14</v>
      </c>
      <c r="C231" s="2437" t="s">
        <v>2307</v>
      </c>
      <c r="D231" s="2437" t="s">
        <v>2308</v>
      </c>
      <c r="E231" s="2437" t="s">
        <v>2309</v>
      </c>
      <c r="F231" s="2437" t="s">
        <v>2183</v>
      </c>
      <c r="G231" s="2437" t="s">
        <v>2310</v>
      </c>
      <c r="H231" s="2437" t="s">
        <v>24</v>
      </c>
      <c r="I231" s="2437" t="s">
        <v>767</v>
      </c>
    </row>
    <row customHeight="1" ht="11.25">
      <c r="A232" s="2437" t="s">
        <v>2179</v>
      </c>
      <c r="B232" s="2437" t="s">
        <v>14</v>
      </c>
      <c r="C232" s="2437" t="s">
        <v>2330</v>
      </c>
      <c r="D232" s="2437" t="s">
        <v>2331</v>
      </c>
      <c r="E232" s="2437" t="s">
        <v>2217</v>
      </c>
      <c r="F232" s="2437" t="s">
        <v>2332</v>
      </c>
      <c r="G232" s="2437" t="s">
        <v>2333</v>
      </c>
      <c r="H232" s="2437" t="s">
        <v>24</v>
      </c>
      <c r="I232" s="2437" t="s">
        <v>767</v>
      </c>
    </row>
    <row customHeight="1" ht="11.25">
      <c r="A233" s="2437" t="s">
        <v>2179</v>
      </c>
      <c r="B233" s="2437" t="s">
        <v>14</v>
      </c>
      <c r="C233" s="2437" t="s">
        <v>2341</v>
      </c>
      <c r="D233" s="2437" t="s">
        <v>2342</v>
      </c>
      <c r="E233" s="2437" t="s">
        <v>2343</v>
      </c>
      <c r="F233" s="2437" t="s">
        <v>2344</v>
      </c>
      <c r="G233" s="2437" t="s">
        <v>24</v>
      </c>
      <c r="H233" s="2437" t="s">
        <v>24</v>
      </c>
      <c r="I233" s="2437" t="s">
        <v>767</v>
      </c>
    </row>
    <row customHeight="1" ht="11.25">
      <c r="A234" s="2437" t="s">
        <v>2179</v>
      </c>
      <c r="B234" s="2437" t="s">
        <v>14</v>
      </c>
      <c r="C234" s="2437" t="s">
        <v>2766</v>
      </c>
      <c r="D234" s="2437" t="s">
        <v>2767</v>
      </c>
      <c r="E234" s="2437" t="s">
        <v>2768</v>
      </c>
      <c r="F234" s="2437" t="s">
        <v>2183</v>
      </c>
      <c r="G234" s="2437" t="s">
        <v>24</v>
      </c>
      <c r="H234" s="2437" t="s">
        <v>24</v>
      </c>
      <c r="I234" s="2437" t="s">
        <v>767</v>
      </c>
    </row>
    <row customHeight="1" ht="11.25">
      <c r="A235" s="2437" t="s">
        <v>2179</v>
      </c>
      <c r="B235" s="2437" t="s">
        <v>14</v>
      </c>
      <c r="C235" s="2437" t="s">
        <v>2360</v>
      </c>
      <c r="D235" s="2437" t="s">
        <v>2361</v>
      </c>
      <c r="E235" s="2437" t="s">
        <v>2362</v>
      </c>
      <c r="F235" s="2437" t="s">
        <v>2251</v>
      </c>
      <c r="G235" s="2437" t="s">
        <v>24</v>
      </c>
      <c r="H235" s="2437" t="s">
        <v>24</v>
      </c>
      <c r="I235" s="2437" t="s">
        <v>767</v>
      </c>
    </row>
    <row customHeight="1" ht="11.25">
      <c r="A236" s="2437" t="s">
        <v>2179</v>
      </c>
      <c r="B236" s="2437" t="s">
        <v>14</v>
      </c>
      <c r="C236" s="2437" t="s">
        <v>2403</v>
      </c>
      <c r="D236" s="2437" t="s">
        <v>2404</v>
      </c>
      <c r="E236" s="2437" t="s">
        <v>2405</v>
      </c>
      <c r="F236" s="2437" t="s">
        <v>2210</v>
      </c>
      <c r="G236" s="2437" t="s">
        <v>24</v>
      </c>
      <c r="H236" s="2437" t="s">
        <v>24</v>
      </c>
      <c r="I236" s="2437" t="s">
        <v>767</v>
      </c>
    </row>
    <row customHeight="1" ht="11.25">
      <c r="A237" s="2437" t="s">
        <v>2179</v>
      </c>
      <c r="B237" s="2437" t="s">
        <v>14</v>
      </c>
      <c r="C237" s="2437" t="s">
        <v>2458</v>
      </c>
      <c r="D237" s="2437" t="s">
        <v>2459</v>
      </c>
      <c r="E237" s="2437" t="s">
        <v>2460</v>
      </c>
      <c r="F237" s="2437" t="s">
        <v>2461</v>
      </c>
      <c r="G237" s="2437" t="s">
        <v>2462</v>
      </c>
      <c r="H237" s="2437" t="s">
        <v>24</v>
      </c>
      <c r="I237" s="2437" t="s">
        <v>767</v>
      </c>
    </row>
    <row customHeight="1" ht="11.25">
      <c r="A238" s="2437" t="s">
        <v>2179</v>
      </c>
      <c r="B238" s="2437" t="s">
        <v>14</v>
      </c>
      <c r="C238" s="2437" t="s">
        <v>2769</v>
      </c>
      <c r="D238" s="2437" t="s">
        <v>2770</v>
      </c>
      <c r="E238" s="2437" t="s">
        <v>2460</v>
      </c>
      <c r="F238" s="2437" t="s">
        <v>2771</v>
      </c>
      <c r="G238" s="2437" t="s">
        <v>2772</v>
      </c>
      <c r="H238" s="2437" t="s">
        <v>24</v>
      </c>
      <c r="I238" s="2437" t="s">
        <v>767</v>
      </c>
    </row>
    <row customHeight="1" ht="11.25">
      <c r="A239" s="2437" t="s">
        <v>2179</v>
      </c>
      <c r="B239" s="2437" t="s">
        <v>14</v>
      </c>
      <c r="C239" s="2437" t="s">
        <v>2773</v>
      </c>
      <c r="D239" s="2437" t="s">
        <v>2774</v>
      </c>
      <c r="E239" s="2437" t="s">
        <v>2775</v>
      </c>
      <c r="F239" s="2437" t="s">
        <v>2376</v>
      </c>
      <c r="G239" s="2437" t="s">
        <v>24</v>
      </c>
      <c r="H239" s="2437" t="s">
        <v>24</v>
      </c>
      <c r="I239" s="2437" t="s">
        <v>767</v>
      </c>
    </row>
    <row customHeight="1" ht="11.25">
      <c r="A240" s="2437" t="s">
        <v>2179</v>
      </c>
      <c r="B240" s="2437" t="s">
        <v>14</v>
      </c>
      <c r="C240" s="2437" t="s">
        <v>2501</v>
      </c>
      <c r="D240" s="2437" t="s">
        <v>2502</v>
      </c>
      <c r="E240" s="2437" t="s">
        <v>2503</v>
      </c>
      <c r="F240" s="2437" t="s">
        <v>2504</v>
      </c>
      <c r="G240" s="2437" t="s">
        <v>24</v>
      </c>
      <c r="H240" s="2437" t="s">
        <v>24</v>
      </c>
      <c r="I240" s="2437" t="s">
        <v>767</v>
      </c>
    </row>
    <row customHeight="1" ht="11.25">
      <c r="A241" s="2437" t="s">
        <v>2179</v>
      </c>
      <c r="B241" s="2437" t="s">
        <v>14</v>
      </c>
      <c r="C241" s="2437" t="s">
        <v>2776</v>
      </c>
      <c r="D241" s="2437" t="s">
        <v>2777</v>
      </c>
      <c r="E241" s="2437" t="s">
        <v>2778</v>
      </c>
      <c r="F241" s="2437" t="s">
        <v>2380</v>
      </c>
      <c r="G241" s="2437" t="s">
        <v>24</v>
      </c>
      <c r="H241" s="2437" t="s">
        <v>24</v>
      </c>
      <c r="I241" s="2437" t="s">
        <v>767</v>
      </c>
    </row>
    <row customHeight="1" ht="11.25">
      <c r="A242" s="2437" t="s">
        <v>2179</v>
      </c>
      <c r="B242" s="2437" t="s">
        <v>14</v>
      </c>
      <c r="C242" s="2437" t="s">
        <v>2779</v>
      </c>
      <c r="D242" s="2437" t="s">
        <v>2780</v>
      </c>
      <c r="E242" s="2437" t="s">
        <v>2781</v>
      </c>
      <c r="F242" s="2437" t="s">
        <v>2214</v>
      </c>
      <c r="G242" s="2437" t="s">
        <v>24</v>
      </c>
      <c r="H242" s="2437" t="s">
        <v>24</v>
      </c>
      <c r="I242" s="2437" t="s">
        <v>767</v>
      </c>
    </row>
    <row customHeight="1" ht="11.25">
      <c r="A243" s="2437" t="s">
        <v>2179</v>
      </c>
      <c r="B243" s="2437" t="s">
        <v>14</v>
      </c>
      <c r="C243" s="2437" t="s">
        <v>2782</v>
      </c>
      <c r="D243" s="2437" t="s">
        <v>2783</v>
      </c>
      <c r="E243" s="2437" t="s">
        <v>2784</v>
      </c>
      <c r="F243" s="2437" t="s">
        <v>2214</v>
      </c>
      <c r="G243" s="2437" t="s">
        <v>24</v>
      </c>
      <c r="H243" s="2437" t="s">
        <v>24</v>
      </c>
      <c r="I243" s="2437" t="s">
        <v>767</v>
      </c>
    </row>
    <row customHeight="1" ht="11.25">
      <c r="A244" s="2437" t="s">
        <v>2179</v>
      </c>
      <c r="B244" s="2437" t="s">
        <v>14</v>
      </c>
      <c r="C244" s="2437" t="s">
        <v>2785</v>
      </c>
      <c r="D244" s="2437" t="s">
        <v>2786</v>
      </c>
      <c r="E244" s="2437" t="s">
        <v>2787</v>
      </c>
      <c r="F244" s="2437" t="s">
        <v>2282</v>
      </c>
      <c r="G244" s="2437" t="s">
        <v>24</v>
      </c>
      <c r="H244" s="2437" t="s">
        <v>24</v>
      </c>
      <c r="I244" s="2437" t="s">
        <v>767</v>
      </c>
    </row>
    <row customHeight="1" ht="11.25">
      <c r="A245" s="2437" t="s">
        <v>2179</v>
      </c>
      <c r="B245" s="2437" t="s">
        <v>14</v>
      </c>
      <c r="C245" s="2437" t="s">
        <v>2669</v>
      </c>
      <c r="D245" s="2437" t="s">
        <v>2670</v>
      </c>
      <c r="E245" s="2437" t="s">
        <v>2671</v>
      </c>
      <c r="F245" s="2437" t="s">
        <v>2282</v>
      </c>
      <c r="G245" s="2437" t="s">
        <v>24</v>
      </c>
      <c r="H245" s="2437" t="s">
        <v>24</v>
      </c>
      <c r="I245" s="2437" t="s">
        <v>767</v>
      </c>
    </row>
    <row customHeight="1" ht="11.25">
      <c r="A246" s="2437" t="s">
        <v>2179</v>
      </c>
      <c r="B246" s="2437" t="s">
        <v>14</v>
      </c>
      <c r="C246" s="2437" t="s">
        <v>2701</v>
      </c>
      <c r="D246" s="2437" t="s">
        <v>2702</v>
      </c>
      <c r="E246" s="2437" t="s">
        <v>2703</v>
      </c>
      <c r="F246" s="2437" t="s">
        <v>2323</v>
      </c>
      <c r="G246" s="2437" t="s">
        <v>24</v>
      </c>
      <c r="H246" s="2437" t="s">
        <v>24</v>
      </c>
      <c r="I246" s="2437" t="s">
        <v>767</v>
      </c>
    </row>
    <row customHeight="1" ht="11.25">
      <c r="A247" s="2437" t="s">
        <v>2179</v>
      </c>
      <c r="B247" s="2437" t="s">
        <v>14</v>
      </c>
      <c r="C247" s="2437" t="s">
        <v>2708</v>
      </c>
      <c r="D247" s="2437" t="s">
        <v>2709</v>
      </c>
      <c r="E247" s="2437" t="s">
        <v>2706</v>
      </c>
      <c r="F247" s="2437" t="s">
        <v>2187</v>
      </c>
      <c r="G247" s="2437" t="s">
        <v>24</v>
      </c>
      <c r="H247" s="2437" t="s">
        <v>24</v>
      </c>
      <c r="I247" s="2437" t="s">
        <v>767</v>
      </c>
    </row>
    <row customHeight="1" ht="11.25">
      <c r="A248" s="2437" t="s">
        <v>2179</v>
      </c>
      <c r="B248" s="2437" t="s">
        <v>14</v>
      </c>
      <c r="C248" s="2437" t="s">
        <v>2713</v>
      </c>
      <c r="D248" s="2437" t="s">
        <v>2714</v>
      </c>
      <c r="E248" s="2437" t="s">
        <v>2715</v>
      </c>
      <c r="F248" s="2437" t="s">
        <v>2183</v>
      </c>
      <c r="G248" s="2437" t="s">
        <v>24</v>
      </c>
      <c r="H248" s="2437" t="s">
        <v>24</v>
      </c>
      <c r="I248" s="2437" t="s">
        <v>767</v>
      </c>
    </row>
    <row customHeight="1" ht="11.25">
      <c r="A249" s="2437" t="s">
        <v>2179</v>
      </c>
      <c r="B249" s="2437" t="s">
        <v>14</v>
      </c>
      <c r="C249" s="2437" t="s">
        <v>2788</v>
      </c>
      <c r="D249" s="2437" t="s">
        <v>2789</v>
      </c>
      <c r="E249" s="2437" t="s">
        <v>2790</v>
      </c>
      <c r="F249" s="2437" t="s">
        <v>2251</v>
      </c>
      <c r="G249" s="2437" t="s">
        <v>24</v>
      </c>
      <c r="H249" s="2437" t="s">
        <v>24</v>
      </c>
      <c r="I249" s="2437" t="s">
        <v>767</v>
      </c>
    </row>
    <row customHeight="1" ht="11.25">
      <c r="A250" s="2437" t="s">
        <v>2179</v>
      </c>
      <c r="B250" s="2437" t="s">
        <v>14</v>
      </c>
      <c r="C250" s="2437" t="s">
        <v>2722</v>
      </c>
      <c r="D250" s="2437" t="s">
        <v>2723</v>
      </c>
      <c r="E250" s="2437" t="s">
        <v>2724</v>
      </c>
      <c r="F250" s="2437" t="s">
        <v>2191</v>
      </c>
      <c r="G250" s="2437" t="s">
        <v>24</v>
      </c>
      <c r="H250" s="2437" t="s">
        <v>24</v>
      </c>
      <c r="I250" s="2437" t="s">
        <v>767</v>
      </c>
    </row>
    <row customHeight="1" ht="11.25">
      <c r="A251" s="2437" t="s">
        <v>2179</v>
      </c>
      <c r="B251" s="2437" t="s">
        <v>14</v>
      </c>
      <c r="C251" s="2437" t="s">
        <v>2791</v>
      </c>
      <c r="D251" s="2437" t="s">
        <v>2792</v>
      </c>
      <c r="E251" s="2437" t="s">
        <v>2793</v>
      </c>
      <c r="F251" s="2437" t="s">
        <v>2794</v>
      </c>
      <c r="G251" s="2437" t="s">
        <v>24</v>
      </c>
      <c r="H251" s="2437" t="s">
        <v>24</v>
      </c>
      <c r="I251" s="2437" t="s">
        <v>767</v>
      </c>
    </row>
    <row customHeight="1" ht="11.25">
      <c r="A252" s="2437" t="s">
        <v>2179</v>
      </c>
      <c r="B252" s="2437" t="s">
        <v>14</v>
      </c>
      <c r="C252" s="2437" t="s">
        <v>2761</v>
      </c>
      <c r="D252" s="2437" t="s">
        <v>2762</v>
      </c>
      <c r="E252" s="2437" t="s">
        <v>2745</v>
      </c>
      <c r="F252" s="2437" t="s">
        <v>2399</v>
      </c>
      <c r="G252" s="2437" t="s">
        <v>24</v>
      </c>
      <c r="H252" s="2437" t="s">
        <v>24</v>
      </c>
      <c r="I252" s="2437" t="s">
        <v>767</v>
      </c>
    </row>
    <row customHeight="1" ht="11.25">
      <c r="A253" s="2437" t="s">
        <v>2179</v>
      </c>
      <c r="B253" s="2437" t="s">
        <v>14</v>
      </c>
      <c r="C253" s="2437" t="s">
        <v>2180</v>
      </c>
      <c r="D253" s="2437" t="s">
        <v>2181</v>
      </c>
      <c r="E253" s="2437" t="s">
        <v>2182</v>
      </c>
      <c r="F253" s="2437" t="s">
        <v>2183</v>
      </c>
      <c r="G253" s="2437" t="s">
        <v>24</v>
      </c>
      <c r="H253" s="2437" t="s">
        <v>24</v>
      </c>
      <c r="I253" s="2437" t="s">
        <v>819</v>
      </c>
    </row>
    <row customHeight="1" ht="11.25">
      <c r="A254" s="2437" t="s">
        <v>2179</v>
      </c>
      <c r="B254" s="2437" t="s">
        <v>14</v>
      </c>
      <c r="C254" s="2437" t="s">
        <v>2188</v>
      </c>
      <c r="D254" s="2437" t="s">
        <v>2189</v>
      </c>
      <c r="E254" s="2437" t="s">
        <v>2190</v>
      </c>
      <c r="F254" s="2437" t="s">
        <v>2191</v>
      </c>
      <c r="G254" s="2437" t="s">
        <v>24</v>
      </c>
      <c r="H254" s="2437" t="s">
        <v>24</v>
      </c>
      <c r="I254" s="2437" t="s">
        <v>819</v>
      </c>
    </row>
    <row customHeight="1" ht="11.25">
      <c r="A255" s="2437" t="s">
        <v>2179</v>
      </c>
      <c r="B255" s="2437" t="s">
        <v>14</v>
      </c>
      <c r="C255" s="2437" t="s">
        <v>2207</v>
      </c>
      <c r="D255" s="2437" t="s">
        <v>2208</v>
      </c>
      <c r="E255" s="2437" t="s">
        <v>2209</v>
      </c>
      <c r="F255" s="2437" t="s">
        <v>2210</v>
      </c>
      <c r="G255" s="2437" t="s">
        <v>24</v>
      </c>
      <c r="H255" s="2437" t="s">
        <v>24</v>
      </c>
      <c r="I255" s="2437" t="s">
        <v>819</v>
      </c>
    </row>
    <row customHeight="1" ht="11.25">
      <c r="A256" s="2437" t="s">
        <v>2179</v>
      </c>
      <c r="B256" s="2437" t="s">
        <v>14</v>
      </c>
      <c r="C256" s="2437" t="s">
        <v>2763</v>
      </c>
      <c r="D256" s="2437" t="s">
        <v>2764</v>
      </c>
      <c r="E256" s="2437" t="s">
        <v>2765</v>
      </c>
      <c r="F256" s="2437" t="s">
        <v>2214</v>
      </c>
      <c r="G256" s="2437" t="s">
        <v>24</v>
      </c>
      <c r="H256" s="2437" t="s">
        <v>24</v>
      </c>
      <c r="I256" s="2437" t="s">
        <v>819</v>
      </c>
    </row>
    <row customHeight="1" ht="11.25">
      <c r="A257" s="2437" t="s">
        <v>2179</v>
      </c>
      <c r="B257" s="2437" t="s">
        <v>14</v>
      </c>
      <c r="C257" s="2437" t="s">
        <v>2215</v>
      </c>
      <c r="D257" s="2437" t="s">
        <v>2216</v>
      </c>
      <c r="E257" s="2437" t="s">
        <v>2217</v>
      </c>
      <c r="F257" s="2437" t="s">
        <v>2218</v>
      </c>
      <c r="G257" s="2437" t="s">
        <v>2219</v>
      </c>
      <c r="H257" s="2437" t="s">
        <v>24</v>
      </c>
      <c r="I257" s="2437" t="s">
        <v>819</v>
      </c>
    </row>
    <row customHeight="1" ht="11.25">
      <c r="A258" s="2437" t="s">
        <v>2179</v>
      </c>
      <c r="B258" s="2437" t="s">
        <v>14</v>
      </c>
      <c r="C258" s="2437" t="s">
        <v>2220</v>
      </c>
      <c r="D258" s="2437" t="s">
        <v>2216</v>
      </c>
      <c r="E258" s="2437" t="s">
        <v>2217</v>
      </c>
      <c r="F258" s="2437" t="s">
        <v>2221</v>
      </c>
      <c r="G258" s="2437" t="s">
        <v>24</v>
      </c>
      <c r="H258" s="2437" t="s">
        <v>24</v>
      </c>
      <c r="I258" s="2437" t="s">
        <v>819</v>
      </c>
    </row>
    <row customHeight="1" ht="11.25">
      <c r="A259" s="2437" t="s">
        <v>2179</v>
      </c>
      <c r="B259" s="2437" t="s">
        <v>14</v>
      </c>
      <c r="C259" s="2437" t="s">
        <v>2241</v>
      </c>
      <c r="D259" s="2437" t="s">
        <v>2242</v>
      </c>
      <c r="E259" s="2437" t="s">
        <v>2243</v>
      </c>
      <c r="F259" s="2437" t="s">
        <v>2183</v>
      </c>
      <c r="G259" s="2437" t="s">
        <v>24</v>
      </c>
      <c r="H259" s="2437" t="s">
        <v>24</v>
      </c>
      <c r="I259" s="2437" t="s">
        <v>819</v>
      </c>
    </row>
    <row customHeight="1" ht="11.25">
      <c r="A260" s="2437" t="s">
        <v>2179</v>
      </c>
      <c r="B260" s="2437" t="s">
        <v>14</v>
      </c>
      <c r="C260" s="2437" t="s">
        <v>2255</v>
      </c>
      <c r="D260" s="2437" t="s">
        <v>2256</v>
      </c>
      <c r="E260" s="2437" t="s">
        <v>2257</v>
      </c>
      <c r="F260" s="2437" t="s">
        <v>2191</v>
      </c>
      <c r="G260" s="2437" t="s">
        <v>24</v>
      </c>
      <c r="H260" s="2437" t="s">
        <v>24</v>
      </c>
      <c r="I260" s="2437" t="s">
        <v>819</v>
      </c>
    </row>
    <row customHeight="1" ht="11.25">
      <c r="A261" s="2437" t="s">
        <v>2179</v>
      </c>
      <c r="B261" s="2437" t="s">
        <v>14</v>
      </c>
      <c r="C261" s="2437" t="s">
        <v>2266</v>
      </c>
      <c r="D261" s="2437" t="s">
        <v>2267</v>
      </c>
      <c r="E261" s="2437" t="s">
        <v>2268</v>
      </c>
      <c r="F261" s="2437" t="s">
        <v>2183</v>
      </c>
      <c r="G261" s="2437" t="s">
        <v>24</v>
      </c>
      <c r="H261" s="2437" t="s">
        <v>24</v>
      </c>
      <c r="I261" s="2437" t="s">
        <v>819</v>
      </c>
    </row>
    <row customHeight="1" ht="11.25">
      <c r="A262" s="2437" t="s">
        <v>2179</v>
      </c>
      <c r="B262" s="2437" t="s">
        <v>14</v>
      </c>
      <c r="C262" s="2437" t="s">
        <v>2283</v>
      </c>
      <c r="D262" s="2437" t="s">
        <v>2284</v>
      </c>
      <c r="E262" s="2437" t="s">
        <v>2285</v>
      </c>
      <c r="F262" s="2437" t="s">
        <v>2286</v>
      </c>
      <c r="G262" s="2437" t="s">
        <v>24</v>
      </c>
      <c r="H262" s="2437" t="s">
        <v>24</v>
      </c>
      <c r="I262" s="2437" t="s">
        <v>819</v>
      </c>
    </row>
    <row customHeight="1" ht="11.25">
      <c r="A263" s="2437" t="s">
        <v>2179</v>
      </c>
      <c r="B263" s="2437" t="s">
        <v>14</v>
      </c>
      <c r="C263" s="2437" t="s">
        <v>2307</v>
      </c>
      <c r="D263" s="2437" t="s">
        <v>2308</v>
      </c>
      <c r="E263" s="2437" t="s">
        <v>2309</v>
      </c>
      <c r="F263" s="2437" t="s">
        <v>2183</v>
      </c>
      <c r="G263" s="2437" t="s">
        <v>2310</v>
      </c>
      <c r="H263" s="2437" t="s">
        <v>24</v>
      </c>
      <c r="I263" s="2437" t="s">
        <v>819</v>
      </c>
    </row>
    <row customHeight="1" ht="11.25">
      <c r="A264" s="2437" t="s">
        <v>2179</v>
      </c>
      <c r="B264" s="2437" t="s">
        <v>14</v>
      </c>
      <c r="C264" s="2437" t="s">
        <v>2795</v>
      </c>
      <c r="D264" s="2437" t="s">
        <v>2796</v>
      </c>
      <c r="E264" s="2437" t="s">
        <v>2797</v>
      </c>
      <c r="F264" s="2437" t="s">
        <v>2380</v>
      </c>
      <c r="G264" s="2437" t="s">
        <v>24</v>
      </c>
      <c r="H264" s="2437" t="s">
        <v>24</v>
      </c>
      <c r="I264" s="2437" t="s">
        <v>819</v>
      </c>
    </row>
    <row customHeight="1" ht="11.25">
      <c r="A265" s="2437" t="s">
        <v>2179</v>
      </c>
      <c r="B265" s="2437" t="s">
        <v>14</v>
      </c>
      <c r="C265" s="2437" t="s">
        <v>2330</v>
      </c>
      <c r="D265" s="2437" t="s">
        <v>2331</v>
      </c>
      <c r="E265" s="2437" t="s">
        <v>2217</v>
      </c>
      <c r="F265" s="2437" t="s">
        <v>2332</v>
      </c>
      <c r="G265" s="2437" t="s">
        <v>2333</v>
      </c>
      <c r="H265" s="2437" t="s">
        <v>24</v>
      </c>
      <c r="I265" s="2437" t="s">
        <v>819</v>
      </c>
    </row>
    <row customHeight="1" ht="11.25">
      <c r="A266" s="2437" t="s">
        <v>2179</v>
      </c>
      <c r="B266" s="2437" t="s">
        <v>14</v>
      </c>
      <c r="C266" s="2437" t="s">
        <v>2798</v>
      </c>
      <c r="D266" s="2437" t="s">
        <v>2799</v>
      </c>
      <c r="E266" s="2437" t="s">
        <v>2800</v>
      </c>
      <c r="F266" s="2437" t="s">
        <v>2344</v>
      </c>
      <c r="G266" s="2437" t="s">
        <v>24</v>
      </c>
      <c r="H266" s="2437" t="s">
        <v>24</v>
      </c>
      <c r="I266" s="2437" t="s">
        <v>819</v>
      </c>
    </row>
    <row customHeight="1" ht="11.25">
      <c r="A267" s="2437" t="s">
        <v>2179</v>
      </c>
      <c r="B267" s="2437" t="s">
        <v>14</v>
      </c>
      <c r="C267" s="2437" t="s">
        <v>2341</v>
      </c>
      <c r="D267" s="2437" t="s">
        <v>2342</v>
      </c>
      <c r="E267" s="2437" t="s">
        <v>2343</v>
      </c>
      <c r="F267" s="2437" t="s">
        <v>2344</v>
      </c>
      <c r="G267" s="2437" t="s">
        <v>24</v>
      </c>
      <c r="H267" s="2437" t="s">
        <v>24</v>
      </c>
      <c r="I267" s="2437" t="s">
        <v>819</v>
      </c>
    </row>
    <row customHeight="1" ht="11.25">
      <c r="A268" s="2437" t="s">
        <v>2179</v>
      </c>
      <c r="B268" s="2437" t="s">
        <v>14</v>
      </c>
      <c r="C268" s="2437" t="s">
        <v>2766</v>
      </c>
      <c r="D268" s="2437" t="s">
        <v>2767</v>
      </c>
      <c r="E268" s="2437" t="s">
        <v>2768</v>
      </c>
      <c r="F268" s="2437" t="s">
        <v>2183</v>
      </c>
      <c r="G268" s="2437" t="s">
        <v>24</v>
      </c>
      <c r="H268" s="2437" t="s">
        <v>24</v>
      </c>
      <c r="I268" s="2437" t="s">
        <v>819</v>
      </c>
    </row>
    <row customHeight="1" ht="11.25">
      <c r="A269" s="2437" t="s">
        <v>2179</v>
      </c>
      <c r="B269" s="2437" t="s">
        <v>14</v>
      </c>
      <c r="C269" s="2437" t="s">
        <v>2360</v>
      </c>
      <c r="D269" s="2437" t="s">
        <v>2361</v>
      </c>
      <c r="E269" s="2437" t="s">
        <v>2362</v>
      </c>
      <c r="F269" s="2437" t="s">
        <v>2251</v>
      </c>
      <c r="G269" s="2437" t="s">
        <v>24</v>
      </c>
      <c r="H269" s="2437" t="s">
        <v>24</v>
      </c>
      <c r="I269" s="2437" t="s">
        <v>819</v>
      </c>
    </row>
    <row customHeight="1" ht="11.25">
      <c r="A270" s="2437" t="s">
        <v>2179</v>
      </c>
      <c r="B270" s="2437" t="s">
        <v>14</v>
      </c>
      <c r="C270" s="2437" t="s">
        <v>2403</v>
      </c>
      <c r="D270" s="2437" t="s">
        <v>2404</v>
      </c>
      <c r="E270" s="2437" t="s">
        <v>2405</v>
      </c>
      <c r="F270" s="2437" t="s">
        <v>2210</v>
      </c>
      <c r="G270" s="2437" t="s">
        <v>24</v>
      </c>
      <c r="H270" s="2437" t="s">
        <v>24</v>
      </c>
      <c r="I270" s="2437" t="s">
        <v>819</v>
      </c>
    </row>
    <row customHeight="1" ht="11.25">
      <c r="A271" s="2437" t="s">
        <v>2179</v>
      </c>
      <c r="B271" s="2437" t="s">
        <v>14</v>
      </c>
      <c r="C271" s="2437" t="s">
        <v>2458</v>
      </c>
      <c r="D271" s="2437" t="s">
        <v>2459</v>
      </c>
      <c r="E271" s="2437" t="s">
        <v>2460</v>
      </c>
      <c r="F271" s="2437" t="s">
        <v>2461</v>
      </c>
      <c r="G271" s="2437" t="s">
        <v>2462</v>
      </c>
      <c r="H271" s="2437" t="s">
        <v>24</v>
      </c>
      <c r="I271" s="2437" t="s">
        <v>819</v>
      </c>
    </row>
    <row customHeight="1" ht="11.25">
      <c r="A272" s="2437" t="s">
        <v>2179</v>
      </c>
      <c r="B272" s="2437" t="s">
        <v>14</v>
      </c>
      <c r="C272" s="2437" t="s">
        <v>2769</v>
      </c>
      <c r="D272" s="2437" t="s">
        <v>2770</v>
      </c>
      <c r="E272" s="2437" t="s">
        <v>2460</v>
      </c>
      <c r="F272" s="2437" t="s">
        <v>2771</v>
      </c>
      <c r="G272" s="2437" t="s">
        <v>2772</v>
      </c>
      <c r="H272" s="2437" t="s">
        <v>24</v>
      </c>
      <c r="I272" s="2437" t="s">
        <v>819</v>
      </c>
    </row>
    <row customHeight="1" ht="11.25">
      <c r="A273" s="2437" t="s">
        <v>2179</v>
      </c>
      <c r="B273" s="2437" t="s">
        <v>14</v>
      </c>
      <c r="C273" s="2437" t="s">
        <v>2773</v>
      </c>
      <c r="D273" s="2437" t="s">
        <v>2774</v>
      </c>
      <c r="E273" s="2437" t="s">
        <v>2775</v>
      </c>
      <c r="F273" s="2437" t="s">
        <v>2376</v>
      </c>
      <c r="G273" s="2437" t="s">
        <v>24</v>
      </c>
      <c r="H273" s="2437" t="s">
        <v>24</v>
      </c>
      <c r="I273" s="2437" t="s">
        <v>819</v>
      </c>
    </row>
    <row customHeight="1" ht="11.25">
      <c r="A274" s="2437" t="s">
        <v>2179</v>
      </c>
      <c r="B274" s="2437" t="s">
        <v>14</v>
      </c>
      <c r="C274" s="2437" t="s">
        <v>2501</v>
      </c>
      <c r="D274" s="2437" t="s">
        <v>2502</v>
      </c>
      <c r="E274" s="2437" t="s">
        <v>2503</v>
      </c>
      <c r="F274" s="2437" t="s">
        <v>2504</v>
      </c>
      <c r="G274" s="2437" t="s">
        <v>24</v>
      </c>
      <c r="H274" s="2437" t="s">
        <v>24</v>
      </c>
      <c r="I274" s="2437" t="s">
        <v>819</v>
      </c>
    </row>
    <row customHeight="1" ht="11.25">
      <c r="A275" s="2437" t="s">
        <v>2179</v>
      </c>
      <c r="B275" s="2437" t="s">
        <v>14</v>
      </c>
      <c r="C275" s="2437" t="s">
        <v>2776</v>
      </c>
      <c r="D275" s="2437" t="s">
        <v>2777</v>
      </c>
      <c r="E275" s="2437" t="s">
        <v>2778</v>
      </c>
      <c r="F275" s="2437" t="s">
        <v>2380</v>
      </c>
      <c r="G275" s="2437" t="s">
        <v>24</v>
      </c>
      <c r="H275" s="2437" t="s">
        <v>24</v>
      </c>
      <c r="I275" s="2437" t="s">
        <v>819</v>
      </c>
    </row>
    <row customHeight="1" ht="11.25">
      <c r="A276" s="2437" t="s">
        <v>2179</v>
      </c>
      <c r="B276" s="2437" t="s">
        <v>14</v>
      </c>
      <c r="C276" s="2437" t="s">
        <v>2779</v>
      </c>
      <c r="D276" s="2437" t="s">
        <v>2780</v>
      </c>
      <c r="E276" s="2437" t="s">
        <v>2781</v>
      </c>
      <c r="F276" s="2437" t="s">
        <v>2214</v>
      </c>
      <c r="G276" s="2437" t="s">
        <v>24</v>
      </c>
      <c r="H276" s="2437" t="s">
        <v>24</v>
      </c>
      <c r="I276" s="2437" t="s">
        <v>819</v>
      </c>
    </row>
    <row customHeight="1" ht="11.25">
      <c r="A277" s="2437" t="s">
        <v>2179</v>
      </c>
      <c r="B277" s="2437" t="s">
        <v>14</v>
      </c>
      <c r="C277" s="2437" t="s">
        <v>2782</v>
      </c>
      <c r="D277" s="2437" t="s">
        <v>2783</v>
      </c>
      <c r="E277" s="2437" t="s">
        <v>2784</v>
      </c>
      <c r="F277" s="2437" t="s">
        <v>2214</v>
      </c>
      <c r="G277" s="2437" t="s">
        <v>24</v>
      </c>
      <c r="H277" s="2437" t="s">
        <v>24</v>
      </c>
      <c r="I277" s="2437" t="s">
        <v>819</v>
      </c>
    </row>
    <row customHeight="1" ht="11.25">
      <c r="A278" s="2437" t="s">
        <v>2179</v>
      </c>
      <c r="B278" s="2437" t="s">
        <v>14</v>
      </c>
      <c r="C278" s="2437" t="s">
        <v>2801</v>
      </c>
      <c r="D278" s="2437" t="s">
        <v>2802</v>
      </c>
      <c r="E278" s="2437" t="s">
        <v>2803</v>
      </c>
      <c r="F278" s="2437" t="s">
        <v>2199</v>
      </c>
      <c r="G278" s="2437" t="s">
        <v>24</v>
      </c>
      <c r="H278" s="2437" t="s">
        <v>24</v>
      </c>
      <c r="I278" s="2437" t="s">
        <v>819</v>
      </c>
    </row>
    <row customHeight="1" ht="11.25">
      <c r="A279" s="2437" t="s">
        <v>2179</v>
      </c>
      <c r="B279" s="2437" t="s">
        <v>14</v>
      </c>
      <c r="C279" s="2437" t="s">
        <v>2785</v>
      </c>
      <c r="D279" s="2437" t="s">
        <v>2786</v>
      </c>
      <c r="E279" s="2437" t="s">
        <v>2787</v>
      </c>
      <c r="F279" s="2437" t="s">
        <v>2282</v>
      </c>
      <c r="G279" s="2437" t="s">
        <v>24</v>
      </c>
      <c r="H279" s="2437" t="s">
        <v>24</v>
      </c>
      <c r="I279" s="2437" t="s">
        <v>819</v>
      </c>
    </row>
    <row customHeight="1" ht="11.25">
      <c r="A280" s="2437" t="s">
        <v>2179</v>
      </c>
      <c r="B280" s="2437" t="s">
        <v>14</v>
      </c>
      <c r="C280" s="2437" t="s">
        <v>2669</v>
      </c>
      <c r="D280" s="2437" t="s">
        <v>2670</v>
      </c>
      <c r="E280" s="2437" t="s">
        <v>2671</v>
      </c>
      <c r="F280" s="2437" t="s">
        <v>2282</v>
      </c>
      <c r="G280" s="2437" t="s">
        <v>24</v>
      </c>
      <c r="H280" s="2437" t="s">
        <v>24</v>
      </c>
      <c r="I280" s="2437" t="s">
        <v>819</v>
      </c>
    </row>
    <row customHeight="1" ht="11.25">
      <c r="A281" s="2437" t="s">
        <v>2179</v>
      </c>
      <c r="B281" s="2437" t="s">
        <v>14</v>
      </c>
      <c r="C281" s="2437" t="s">
        <v>2804</v>
      </c>
      <c r="D281" s="2437" t="s">
        <v>2805</v>
      </c>
      <c r="E281" s="2437" t="s">
        <v>2806</v>
      </c>
      <c r="F281" s="2437" t="s">
        <v>2286</v>
      </c>
      <c r="G281" s="2437" t="s">
        <v>24</v>
      </c>
      <c r="H281" s="2437" t="s">
        <v>24</v>
      </c>
      <c r="I281" s="2437" t="s">
        <v>819</v>
      </c>
    </row>
    <row customHeight="1" ht="11.25">
      <c r="A282" s="2437" t="s">
        <v>2179</v>
      </c>
      <c r="B282" s="2437" t="s">
        <v>14</v>
      </c>
      <c r="C282" s="2437" t="s">
        <v>2708</v>
      </c>
      <c r="D282" s="2437" t="s">
        <v>2709</v>
      </c>
      <c r="E282" s="2437" t="s">
        <v>2706</v>
      </c>
      <c r="F282" s="2437" t="s">
        <v>2187</v>
      </c>
      <c r="G282" s="2437" t="s">
        <v>24</v>
      </c>
      <c r="H282" s="2437" t="s">
        <v>24</v>
      </c>
      <c r="I282" s="2437" t="s">
        <v>819</v>
      </c>
    </row>
    <row customHeight="1" ht="11.25">
      <c r="A283" s="2437" t="s">
        <v>2179</v>
      </c>
      <c r="B283" s="2437" t="s">
        <v>14</v>
      </c>
      <c r="C283" s="2437" t="s">
        <v>2713</v>
      </c>
      <c r="D283" s="2437" t="s">
        <v>2714</v>
      </c>
      <c r="E283" s="2437" t="s">
        <v>2715</v>
      </c>
      <c r="F283" s="2437" t="s">
        <v>2183</v>
      </c>
      <c r="G283" s="2437" t="s">
        <v>24</v>
      </c>
      <c r="H283" s="2437" t="s">
        <v>24</v>
      </c>
      <c r="I283" s="2437" t="s">
        <v>819</v>
      </c>
    </row>
    <row customHeight="1" ht="11.25">
      <c r="A284" s="2437" t="s">
        <v>2179</v>
      </c>
      <c r="B284" s="2437" t="s">
        <v>14</v>
      </c>
      <c r="C284" s="2437" t="s">
        <v>2788</v>
      </c>
      <c r="D284" s="2437" t="s">
        <v>2789</v>
      </c>
      <c r="E284" s="2437" t="s">
        <v>2790</v>
      </c>
      <c r="F284" s="2437" t="s">
        <v>2251</v>
      </c>
      <c r="G284" s="2437" t="s">
        <v>24</v>
      </c>
      <c r="H284" s="2437" t="s">
        <v>24</v>
      </c>
      <c r="I284" s="2437" t="s">
        <v>819</v>
      </c>
    </row>
    <row customHeight="1" ht="11.25">
      <c r="A285" s="2437" t="s">
        <v>2179</v>
      </c>
      <c r="B285" s="2437" t="s">
        <v>14</v>
      </c>
      <c r="C285" s="2437" t="s">
        <v>2722</v>
      </c>
      <c r="D285" s="2437" t="s">
        <v>2723</v>
      </c>
      <c r="E285" s="2437" t="s">
        <v>2724</v>
      </c>
      <c r="F285" s="2437" t="s">
        <v>2191</v>
      </c>
      <c r="G285" s="2437" t="s">
        <v>24</v>
      </c>
      <c r="H285" s="2437" t="s">
        <v>24</v>
      </c>
      <c r="I285" s="2437" t="s">
        <v>819</v>
      </c>
    </row>
    <row customHeight="1" ht="11.25">
      <c r="A286" s="2437" t="s">
        <v>2179</v>
      </c>
      <c r="B286" s="2437" t="s">
        <v>14</v>
      </c>
      <c r="C286" s="2437" t="s">
        <v>2757</v>
      </c>
      <c r="D286" s="2437" t="s">
        <v>2758</v>
      </c>
      <c r="E286" s="2437" t="s">
        <v>2759</v>
      </c>
      <c r="F286" s="2437" t="s">
        <v>2760</v>
      </c>
      <c r="G286" s="2437" t="s">
        <v>24</v>
      </c>
      <c r="H286" s="2437" t="s">
        <v>24</v>
      </c>
      <c r="I286" s="2437" t="s">
        <v>819</v>
      </c>
    </row>
    <row customHeight="1" ht="11.25">
      <c r="A287" s="2437" t="s">
        <v>2179</v>
      </c>
      <c r="B287" s="2437" t="s">
        <v>14</v>
      </c>
      <c r="C287" s="2437" t="s">
        <v>2761</v>
      </c>
      <c r="D287" s="2437" t="s">
        <v>2762</v>
      </c>
      <c r="E287" s="2437" t="s">
        <v>2745</v>
      </c>
      <c r="F287" s="2437" t="s">
        <v>2399</v>
      </c>
      <c r="G287" s="2437" t="s">
        <v>24</v>
      </c>
      <c r="H287" s="2437" t="s">
        <v>24</v>
      </c>
      <c r="I287" s="2437" t="s">
        <v>819</v>
      </c>
    </row>
    <row customHeight="1" ht="11.25">
      <c r="A288" s="2437" t="s">
        <v>2179</v>
      </c>
      <c r="B288" s="2437" t="s">
        <v>14</v>
      </c>
      <c r="C288" s="2437" t="s">
        <v>2807</v>
      </c>
      <c r="D288" s="2437" t="s">
        <v>2808</v>
      </c>
      <c r="E288" s="2437" t="s">
        <v>2809</v>
      </c>
      <c r="F288" s="2437" t="s">
        <v>2183</v>
      </c>
      <c r="G288" s="2437" t="s">
        <v>24</v>
      </c>
      <c r="H288" s="2437" t="s">
        <v>24</v>
      </c>
      <c r="I288" s="2437" t="s">
        <v>1619</v>
      </c>
    </row>
    <row customHeight="1" ht="11.25">
      <c r="A289" s="2437" t="s">
        <v>2179</v>
      </c>
      <c r="B289" s="2437" t="s">
        <v>14</v>
      </c>
      <c r="C289" s="2437" t="s">
        <v>2810</v>
      </c>
      <c r="D289" s="2437" t="s">
        <v>2811</v>
      </c>
      <c r="E289" s="2437" t="s">
        <v>2812</v>
      </c>
      <c r="F289" s="2437" t="s">
        <v>50</v>
      </c>
      <c r="G289" s="2437" t="s">
        <v>24</v>
      </c>
      <c r="H289" s="2437" t="s">
        <v>24</v>
      </c>
      <c r="I289" s="2437" t="s">
        <v>1619</v>
      </c>
    </row>
    <row customHeight="1" ht="11.25">
      <c r="A290" s="2437" t="s">
        <v>2179</v>
      </c>
      <c r="B290" s="2437" t="s">
        <v>14</v>
      </c>
      <c r="C290" s="2437" t="s">
        <v>2813</v>
      </c>
      <c r="D290" s="2437" t="s">
        <v>2814</v>
      </c>
      <c r="E290" s="2437" t="s">
        <v>2815</v>
      </c>
      <c r="F290" s="2437" t="s">
        <v>2247</v>
      </c>
      <c r="G290" s="2437" t="s">
        <v>24</v>
      </c>
      <c r="H290" s="2437" t="s">
        <v>24</v>
      </c>
      <c r="I290" s="2437" t="s">
        <v>1619</v>
      </c>
    </row>
    <row customHeight="1" ht="11.25">
      <c r="A291" s="2437" t="s">
        <v>2179</v>
      </c>
      <c r="B291" s="2437" t="s">
        <v>14</v>
      </c>
      <c r="C291" s="2437" t="s">
        <v>2816</v>
      </c>
      <c r="D291" s="2437" t="s">
        <v>2817</v>
      </c>
      <c r="E291" s="2437" t="s">
        <v>2818</v>
      </c>
      <c r="F291" s="2437" t="s">
        <v>2819</v>
      </c>
      <c r="G291" s="2437" t="s">
        <v>24</v>
      </c>
      <c r="H291" s="2437" t="s">
        <v>24</v>
      </c>
      <c r="I291" s="2437" t="s">
        <v>1619</v>
      </c>
    </row>
    <row customHeight="1" ht="11.25">
      <c r="A292" s="2437" t="s">
        <v>2179</v>
      </c>
      <c r="B292" s="2437" t="s">
        <v>14</v>
      </c>
      <c r="C292" s="2437" t="s">
        <v>2820</v>
      </c>
      <c r="D292" s="2437" t="s">
        <v>2821</v>
      </c>
      <c r="E292" s="2437" t="s">
        <v>2822</v>
      </c>
      <c r="F292" s="2437" t="s">
        <v>2823</v>
      </c>
      <c r="G292" s="2437" t="s">
        <v>24</v>
      </c>
      <c r="H292" s="2437" t="s">
        <v>24</v>
      </c>
      <c r="I292" s="2437" t="s">
        <v>1619</v>
      </c>
    </row>
    <row customHeight="1" ht="11.25">
      <c r="A293" s="2437" t="s">
        <v>2179</v>
      </c>
      <c r="B293" s="2437" t="s">
        <v>14</v>
      </c>
      <c r="C293" s="2437" t="s">
        <v>2824</v>
      </c>
      <c r="D293" s="2437" t="s">
        <v>2825</v>
      </c>
      <c r="E293" s="2437" t="s">
        <v>2826</v>
      </c>
      <c r="F293" s="2437" t="s">
        <v>50</v>
      </c>
      <c r="G293" s="2437" t="s">
        <v>24</v>
      </c>
      <c r="H293" s="2437" t="s">
        <v>24</v>
      </c>
      <c r="I293" s="2437" t="s">
        <v>1619</v>
      </c>
    </row>
    <row customHeight="1" ht="11.25">
      <c r="A294" s="2437" t="s">
        <v>2179</v>
      </c>
      <c r="B294" s="2437" t="s">
        <v>14</v>
      </c>
      <c r="C294" s="2437" t="s">
        <v>2827</v>
      </c>
      <c r="D294" s="2437" t="s">
        <v>2828</v>
      </c>
      <c r="E294" s="2437" t="s">
        <v>2829</v>
      </c>
      <c r="F294" s="2437" t="s">
        <v>2261</v>
      </c>
      <c r="G294" s="2437" t="s">
        <v>24</v>
      </c>
      <c r="H294" s="2437" t="s">
        <v>24</v>
      </c>
      <c r="I294" s="2437" t="s">
        <v>1619</v>
      </c>
    </row>
    <row customHeight="1" ht="11.25">
      <c r="A295" s="2437" t="s">
        <v>2179</v>
      </c>
      <c r="B295" s="2437" t="s">
        <v>14</v>
      </c>
      <c r="C295" s="2437" t="s">
        <v>2830</v>
      </c>
      <c r="D295" s="2437" t="s">
        <v>2831</v>
      </c>
      <c r="E295" s="2437" t="s">
        <v>2832</v>
      </c>
      <c r="F295" s="2437" t="s">
        <v>2833</v>
      </c>
      <c r="G295" s="2437" t="s">
        <v>24</v>
      </c>
      <c r="H295" s="2437" t="s">
        <v>24</v>
      </c>
      <c r="I295" s="2437" t="s">
        <v>1619</v>
      </c>
    </row>
    <row customHeight="1" ht="11.25">
      <c r="A296" s="2437" t="s">
        <v>2179</v>
      </c>
      <c r="B296" s="2437" t="s">
        <v>14</v>
      </c>
      <c r="C296" s="2437" t="s">
        <v>2834</v>
      </c>
      <c r="D296" s="2437" t="s">
        <v>2835</v>
      </c>
      <c r="E296" s="2437" t="s">
        <v>2836</v>
      </c>
      <c r="F296" s="2437" t="s">
        <v>2819</v>
      </c>
      <c r="G296" s="2437" t="s">
        <v>24</v>
      </c>
      <c r="H296" s="2437" t="s">
        <v>24</v>
      </c>
      <c r="I296" s="2437" t="s">
        <v>1619</v>
      </c>
    </row>
    <row customHeight="1" ht="11.25">
      <c r="A297" s="2437" t="s">
        <v>2179</v>
      </c>
      <c r="B297" s="2437" t="s">
        <v>14</v>
      </c>
      <c r="C297" s="2437" t="s">
        <v>2837</v>
      </c>
      <c r="D297" s="2437" t="s">
        <v>2838</v>
      </c>
      <c r="E297" s="2437" t="s">
        <v>2839</v>
      </c>
      <c r="F297" s="2437" t="s">
        <v>50</v>
      </c>
      <c r="G297" s="2437" t="s">
        <v>2840</v>
      </c>
      <c r="H297" s="2437" t="s">
        <v>24</v>
      </c>
      <c r="I297" s="2437" t="s">
        <v>1619</v>
      </c>
    </row>
    <row customHeight="1" ht="11.25">
      <c r="A298" s="2437" t="s">
        <v>2179</v>
      </c>
      <c r="B298" s="2437" t="s">
        <v>14</v>
      </c>
      <c r="C298" s="2437" t="s">
        <v>2841</v>
      </c>
      <c r="D298" s="2437" t="s">
        <v>2842</v>
      </c>
      <c r="E298" s="2437" t="s">
        <v>2843</v>
      </c>
      <c r="F298" s="2437" t="s">
        <v>2576</v>
      </c>
      <c r="G298" s="2437" t="s">
        <v>24</v>
      </c>
      <c r="H298" s="2437" t="s">
        <v>24</v>
      </c>
      <c r="I298" s="2437" t="s">
        <v>1619</v>
      </c>
    </row>
    <row customHeight="1" ht="11.25">
      <c r="A299" s="2437" t="s">
        <v>2179</v>
      </c>
      <c r="B299" s="2437" t="s">
        <v>14</v>
      </c>
      <c r="C299" s="2437" t="s">
        <v>2844</v>
      </c>
      <c r="D299" s="2437" t="s">
        <v>2845</v>
      </c>
      <c r="E299" s="2437" t="s">
        <v>2846</v>
      </c>
      <c r="F299" s="2437" t="s">
        <v>2847</v>
      </c>
      <c r="G299" s="2437" t="s">
        <v>24</v>
      </c>
      <c r="H299" s="2437" t="s">
        <v>24</v>
      </c>
      <c r="I299" s="2437" t="s">
        <v>1619</v>
      </c>
    </row>
    <row customHeight="1" ht="11.25">
      <c r="A300" s="2437" t="s">
        <v>2179</v>
      </c>
      <c r="B300" s="2437" t="s">
        <v>14</v>
      </c>
      <c r="C300" s="2437" t="s">
        <v>2848</v>
      </c>
      <c r="D300" s="2437" t="s">
        <v>2849</v>
      </c>
      <c r="E300" s="2437" t="s">
        <v>2850</v>
      </c>
      <c r="F300" s="2437" t="s">
        <v>2282</v>
      </c>
      <c r="G300" s="2437" t="s">
        <v>2851</v>
      </c>
      <c r="H300" s="2437" t="s">
        <v>24</v>
      </c>
      <c r="I300" s="2437" t="s">
        <v>1619</v>
      </c>
    </row>
    <row customHeight="1" ht="11.25">
      <c r="A301" s="2437" t="s">
        <v>2179</v>
      </c>
      <c r="B301" s="2437" t="s">
        <v>14</v>
      </c>
      <c r="C301" s="2437" t="s">
        <v>2852</v>
      </c>
      <c r="D301" s="2437" t="s">
        <v>2853</v>
      </c>
      <c r="E301" s="2437" t="s">
        <v>2854</v>
      </c>
      <c r="F301" s="2437" t="s">
        <v>2833</v>
      </c>
      <c r="G301" s="2437" t="s">
        <v>24</v>
      </c>
      <c r="H301" s="2437" t="s">
        <v>24</v>
      </c>
      <c r="I301" s="2437" t="s">
        <v>1619</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3006DA-39A3-C1B9-2306-6F6B86FA203A}" mc:Ignorable="x14ac xr xr2 xr3">
  <sheetPr>
    <tabColor rgb="FFFFCC99"/>
  </sheetPr>
  <dimension ref="A1:G113"/>
  <sheetViews>
    <sheetView topLeftCell="A1" showGridLines="0" workbookViewId="0">
      <selection activeCell="A1" sqref="A1"/>
    </sheetView>
  </sheetViews>
  <sheetFormatPr customHeight="1" defaultRowHeight="11.25"/>
  <cols>
    <col min="1" max="1" style="2437" width="9.140625"/>
  </cols>
  <sheetData>
    <row customHeight="1" ht="11.25">
      <c r="A1" s="0" t="s">
        <v>2855</v>
      </c>
      <c r="B1" s="0" t="s">
        <v>2856</v>
      </c>
      <c r="C1" s="0" t="s">
        <v>2857</v>
      </c>
      <c r="D1" s="0" t="s">
        <v>2858</v>
      </c>
      <c r="E1" s="0" t="s">
        <v>2859</v>
      </c>
      <c r="F1" s="0" t="s">
        <v>2860</v>
      </c>
      <c r="G1" s="0" t="s">
        <v>2861</v>
      </c>
    </row>
    <row customHeight="1" ht="11.25">
      <c r="A2" s="0" t="s">
        <v>14</v>
      </c>
      <c r="B2" s="0" t="s">
        <v>99</v>
      </c>
      <c r="C2" s="0" t="s">
        <v>100</v>
      </c>
      <c r="D2" s="0" t="s">
        <v>2862</v>
      </c>
      <c r="E2" s="0" t="s">
        <v>2863</v>
      </c>
      <c r="F2" s="0" t="s">
        <v>2864</v>
      </c>
      <c r="G2" s="0" t="s">
        <v>108</v>
      </c>
    </row>
    <row customHeight="1" ht="11.25">
      <c r="A3" s="0" t="s">
        <v>14</v>
      </c>
      <c r="B3" s="0" t="s">
        <v>99</v>
      </c>
      <c r="C3" s="0" t="s">
        <v>100</v>
      </c>
      <c r="D3" s="0" t="s">
        <v>2865</v>
      </c>
      <c r="E3" s="0" t="s">
        <v>2866</v>
      </c>
      <c r="F3" s="0" t="s">
        <v>2864</v>
      </c>
      <c r="G3" s="0" t="s">
        <v>109</v>
      </c>
    </row>
    <row customHeight="1" ht="11.25">
      <c r="A4" s="0" t="s">
        <v>14</v>
      </c>
      <c r="B4" s="0" t="s">
        <v>99</v>
      </c>
      <c r="C4" s="0" t="s">
        <v>100</v>
      </c>
      <c r="D4" s="0" t="s">
        <v>2867</v>
      </c>
      <c r="E4" s="0" t="s">
        <v>2868</v>
      </c>
      <c r="F4" s="0" t="s">
        <v>2864</v>
      </c>
      <c r="G4" s="0" t="s">
        <v>89</v>
      </c>
    </row>
    <row customHeight="1" ht="11.25">
      <c r="A5" s="0" t="s">
        <v>14</v>
      </c>
      <c r="B5" s="0" t="s">
        <v>99</v>
      </c>
      <c r="C5" s="0" t="s">
        <v>100</v>
      </c>
      <c r="D5" s="0" t="s">
        <v>2869</v>
      </c>
      <c r="E5" s="0" t="s">
        <v>2870</v>
      </c>
      <c r="F5" s="0" t="s">
        <v>2864</v>
      </c>
      <c r="G5" s="0" t="s">
        <v>90</v>
      </c>
    </row>
    <row customHeight="1" ht="11.25">
      <c r="A6" s="0" t="s">
        <v>14</v>
      </c>
      <c r="B6" s="0" t="s">
        <v>99</v>
      </c>
      <c r="C6" s="0" t="s">
        <v>100</v>
      </c>
      <c r="D6" s="0" t="s">
        <v>2871</v>
      </c>
      <c r="E6" s="0" t="s">
        <v>2872</v>
      </c>
      <c r="F6" s="0" t="s">
        <v>2864</v>
      </c>
      <c r="G6" s="0" t="s">
        <v>110</v>
      </c>
    </row>
    <row customHeight="1" ht="11.25">
      <c r="A7" s="0" t="s">
        <v>14</v>
      </c>
      <c r="B7" s="0" t="s">
        <v>99</v>
      </c>
      <c r="C7" s="0" t="s">
        <v>100</v>
      </c>
      <c r="D7" s="0" t="s">
        <v>2873</v>
      </c>
      <c r="E7" s="0" t="s">
        <v>2874</v>
      </c>
      <c r="F7" s="0" t="s">
        <v>2864</v>
      </c>
      <c r="G7" s="0" t="s">
        <v>91</v>
      </c>
    </row>
    <row customHeight="1" ht="11.25">
      <c r="A8" s="0" t="s">
        <v>14</v>
      </c>
      <c r="B8" s="0" t="s">
        <v>99</v>
      </c>
      <c r="C8" s="0" t="s">
        <v>100</v>
      </c>
      <c r="D8" s="0" t="s">
        <v>2875</v>
      </c>
      <c r="E8" s="0" t="s">
        <v>2876</v>
      </c>
      <c r="F8" s="0" t="s">
        <v>2864</v>
      </c>
      <c r="G8" s="0" t="s">
        <v>92</v>
      </c>
    </row>
    <row customHeight="1" ht="11.25">
      <c r="A9" s="0" t="s">
        <v>14</v>
      </c>
      <c r="B9" s="0" t="s">
        <v>99</v>
      </c>
      <c r="C9" s="0" t="s">
        <v>100</v>
      </c>
      <c r="D9" s="0" t="s">
        <v>2877</v>
      </c>
      <c r="E9" s="0" t="s">
        <v>2878</v>
      </c>
      <c r="F9" s="0" t="s">
        <v>2864</v>
      </c>
      <c r="G9" s="0" t="s">
        <v>111</v>
      </c>
    </row>
    <row customHeight="1" ht="11.25">
      <c r="A10" s="0" t="s">
        <v>14</v>
      </c>
      <c r="B10" s="0" t="s">
        <v>99</v>
      </c>
      <c r="C10" s="0" t="s">
        <v>100</v>
      </c>
      <c r="D10" s="0" t="s">
        <v>99</v>
      </c>
      <c r="E10" s="0" t="s">
        <v>100</v>
      </c>
      <c r="F10" s="0" t="s">
        <v>2879</v>
      </c>
      <c r="G10" s="0" t="s">
        <v>98</v>
      </c>
    </row>
    <row customHeight="1" ht="11.25">
      <c r="A11" s="0" t="s">
        <v>14</v>
      </c>
      <c r="B11" s="0" t="s">
        <v>99</v>
      </c>
      <c r="C11" s="0" t="s">
        <v>100</v>
      </c>
      <c r="D11" s="0" t="s">
        <v>2880</v>
      </c>
      <c r="E11" s="0" t="s">
        <v>2881</v>
      </c>
      <c r="F11" s="0" t="s">
        <v>2864</v>
      </c>
      <c r="G11" s="0" t="s">
        <v>147</v>
      </c>
    </row>
    <row customHeight="1" ht="11.25">
      <c r="A12" s="0" t="s">
        <v>14</v>
      </c>
      <c r="B12" s="0" t="s">
        <v>99</v>
      </c>
      <c r="C12" s="0" t="s">
        <v>100</v>
      </c>
      <c r="D12" s="0" t="s">
        <v>2882</v>
      </c>
      <c r="E12" s="0" t="s">
        <v>2883</v>
      </c>
      <c r="F12" s="0" t="s">
        <v>2864</v>
      </c>
      <c r="G12" s="0" t="s">
        <v>148</v>
      </c>
    </row>
    <row customHeight="1" ht="11.25">
      <c r="A13" s="0" t="s">
        <v>14</v>
      </c>
      <c r="B13" s="0" t="s">
        <v>99</v>
      </c>
      <c r="C13" s="0" t="s">
        <v>100</v>
      </c>
      <c r="D13" s="0" t="s">
        <v>2884</v>
      </c>
      <c r="E13" s="0" t="s">
        <v>2885</v>
      </c>
      <c r="F13" s="0" t="s">
        <v>2864</v>
      </c>
      <c r="G13" s="0" t="s">
        <v>149</v>
      </c>
    </row>
    <row customHeight="1" ht="11.25">
      <c r="A14" s="0" t="s">
        <v>14</v>
      </c>
      <c r="B14" s="0" t="s">
        <v>99</v>
      </c>
      <c r="C14" s="0" t="s">
        <v>100</v>
      </c>
      <c r="D14" s="0" t="s">
        <v>2886</v>
      </c>
      <c r="E14" s="0" t="s">
        <v>2887</v>
      </c>
      <c r="F14" s="0" t="s">
        <v>2864</v>
      </c>
      <c r="G14" s="0" t="s">
        <v>150</v>
      </c>
    </row>
    <row customHeight="1" ht="11.25">
      <c r="A15" s="0" t="s">
        <v>14</v>
      </c>
      <c r="B15" s="0" t="s">
        <v>99</v>
      </c>
      <c r="C15" s="0" t="s">
        <v>100</v>
      </c>
      <c r="D15" s="0" t="s">
        <v>2888</v>
      </c>
      <c r="E15" s="0" t="s">
        <v>2889</v>
      </c>
      <c r="F15" s="0" t="s">
        <v>2864</v>
      </c>
      <c r="G15" s="0" t="s">
        <v>151</v>
      </c>
    </row>
    <row customHeight="1" ht="11.25">
      <c r="A16" s="0" t="s">
        <v>14</v>
      </c>
      <c r="B16" s="0" t="s">
        <v>99</v>
      </c>
      <c r="C16" s="0" t="s">
        <v>100</v>
      </c>
      <c r="D16" s="0" t="s">
        <v>2890</v>
      </c>
      <c r="E16" s="0" t="s">
        <v>2891</v>
      </c>
      <c r="F16" s="0" t="s">
        <v>2864</v>
      </c>
      <c r="G16" s="0" t="s">
        <v>1464</v>
      </c>
    </row>
    <row customHeight="1" ht="11.25">
      <c r="A17" s="0" t="s">
        <v>14</v>
      </c>
      <c r="B17" s="0" t="s">
        <v>99</v>
      </c>
      <c r="C17" s="0" t="s">
        <v>100</v>
      </c>
      <c r="D17" s="0" t="s">
        <v>2892</v>
      </c>
      <c r="E17" s="0" t="s">
        <v>2893</v>
      </c>
      <c r="F17" s="0" t="s">
        <v>2894</v>
      </c>
      <c r="G17" s="0" t="s">
        <v>1470</v>
      </c>
    </row>
    <row customHeight="1" ht="11.25">
      <c r="A18" s="0" t="s">
        <v>14</v>
      </c>
      <c r="B18" s="0" t="s">
        <v>99</v>
      </c>
      <c r="C18" s="0" t="s">
        <v>100</v>
      </c>
      <c r="D18" s="0" t="s">
        <v>2895</v>
      </c>
      <c r="E18" s="0" t="s">
        <v>2896</v>
      </c>
      <c r="F18" s="0" t="s">
        <v>2894</v>
      </c>
      <c r="G18" s="0" t="s">
        <v>1481</v>
      </c>
    </row>
    <row customHeight="1" ht="11.25">
      <c r="A19" s="0" t="s">
        <v>14</v>
      </c>
      <c r="B19" s="0" t="s">
        <v>99</v>
      </c>
      <c r="C19" s="0" t="s">
        <v>100</v>
      </c>
      <c r="D19" s="0" t="s">
        <v>2897</v>
      </c>
      <c r="E19" s="0" t="s">
        <v>2898</v>
      </c>
      <c r="F19" s="0" t="s">
        <v>2864</v>
      </c>
      <c r="G19" s="0" t="s">
        <v>1495</v>
      </c>
    </row>
    <row customHeight="1" ht="11.25">
      <c r="A20" s="0" t="s">
        <v>14</v>
      </c>
      <c r="B20" s="0" t="s">
        <v>99</v>
      </c>
      <c r="C20" s="0" t="s">
        <v>100</v>
      </c>
      <c r="D20" s="0" t="s">
        <v>2899</v>
      </c>
      <c r="E20" s="0" t="s">
        <v>2900</v>
      </c>
      <c r="F20" s="0" t="s">
        <v>2864</v>
      </c>
      <c r="G20" s="0" t="s">
        <v>1507</v>
      </c>
    </row>
    <row customHeight="1" ht="11.25">
      <c r="A21" s="0" t="s">
        <v>14</v>
      </c>
      <c r="B21" s="0" t="s">
        <v>99</v>
      </c>
      <c r="C21" s="0" t="s">
        <v>100</v>
      </c>
      <c r="D21" s="0" t="s">
        <v>2901</v>
      </c>
      <c r="E21" s="0" t="s">
        <v>2902</v>
      </c>
      <c r="F21" s="0" t="s">
        <v>2864</v>
      </c>
      <c r="G21" s="0" t="s">
        <v>1516</v>
      </c>
    </row>
    <row customHeight="1" ht="11.25">
      <c r="A22" s="0" t="s">
        <v>14</v>
      </c>
      <c r="B22" s="0" t="s">
        <v>99</v>
      </c>
      <c r="C22" s="0" t="s">
        <v>100</v>
      </c>
      <c r="D22" s="0" t="s">
        <v>2903</v>
      </c>
      <c r="E22" s="0" t="s">
        <v>2904</v>
      </c>
      <c r="F22" s="0" t="s">
        <v>2894</v>
      </c>
      <c r="G22" s="0" t="s">
        <v>1532</v>
      </c>
    </row>
    <row customHeight="1" ht="11.25">
      <c r="A23" s="0" t="s">
        <v>14</v>
      </c>
      <c r="B23" s="0" t="s">
        <v>99</v>
      </c>
      <c r="C23" s="0" t="s">
        <v>100</v>
      </c>
      <c r="D23" s="0" t="s">
        <v>2905</v>
      </c>
      <c r="E23" s="0" t="s">
        <v>2906</v>
      </c>
      <c r="F23" s="0" t="s">
        <v>2864</v>
      </c>
      <c r="G23" s="0" t="s">
        <v>1539</v>
      </c>
    </row>
    <row customHeight="1" ht="11.25">
      <c r="A24" s="0" t="s">
        <v>14</v>
      </c>
      <c r="B24" s="0" t="s">
        <v>99</v>
      </c>
      <c r="C24" s="0" t="s">
        <v>100</v>
      </c>
      <c r="D24" s="0" t="s">
        <v>2907</v>
      </c>
      <c r="E24" s="0" t="s">
        <v>2908</v>
      </c>
      <c r="F24" s="0" t="s">
        <v>2894</v>
      </c>
      <c r="G24" s="0" t="s">
        <v>1547</v>
      </c>
    </row>
    <row customHeight="1" ht="11.25">
      <c r="A25" s="0" t="s">
        <v>14</v>
      </c>
      <c r="B25" s="0" t="s">
        <v>99</v>
      </c>
      <c r="C25" s="0" t="s">
        <v>100</v>
      </c>
      <c r="D25" s="0" t="s">
        <v>2909</v>
      </c>
      <c r="E25" s="0" t="s">
        <v>2910</v>
      </c>
      <c r="F25" s="0" t="s">
        <v>2864</v>
      </c>
      <c r="G25" s="0" t="s">
        <v>1554</v>
      </c>
    </row>
    <row customHeight="1" ht="11.25">
      <c r="A26" s="0" t="s">
        <v>14</v>
      </c>
      <c r="B26" s="0" t="s">
        <v>99</v>
      </c>
      <c r="C26" s="0" t="s">
        <v>100</v>
      </c>
      <c r="D26" s="0" t="s">
        <v>2911</v>
      </c>
      <c r="E26" s="0" t="s">
        <v>2912</v>
      </c>
      <c r="F26" s="0" t="s">
        <v>2864</v>
      </c>
      <c r="G26" s="0" t="s">
        <v>1558</v>
      </c>
    </row>
    <row customHeight="1" ht="11.25">
      <c r="A27" s="0" t="s">
        <v>14</v>
      </c>
      <c r="B27" s="0" t="s">
        <v>99</v>
      </c>
      <c r="C27" s="0" t="s">
        <v>100</v>
      </c>
      <c r="D27" s="0" t="s">
        <v>2913</v>
      </c>
      <c r="E27" s="0" t="s">
        <v>2914</v>
      </c>
      <c r="F27" s="0" t="s">
        <v>2864</v>
      </c>
      <c r="G27" s="0" t="s">
        <v>1563</v>
      </c>
    </row>
    <row customHeight="1" ht="11.25">
      <c r="A28" s="0" t="s">
        <v>14</v>
      </c>
      <c r="B28" s="0" t="s">
        <v>99</v>
      </c>
      <c r="C28" s="0" t="s">
        <v>100</v>
      </c>
      <c r="D28" s="0" t="s">
        <v>2915</v>
      </c>
      <c r="E28" s="0" t="s">
        <v>2916</v>
      </c>
      <c r="F28" s="0" t="s">
        <v>2894</v>
      </c>
      <c r="G28" s="0" t="s">
        <v>1571</v>
      </c>
    </row>
    <row customHeight="1" ht="11.25">
      <c r="A29" s="0" t="s">
        <v>14</v>
      </c>
      <c r="B29" s="0" t="s">
        <v>99</v>
      </c>
      <c r="C29" s="0" t="s">
        <v>100</v>
      </c>
      <c r="D29" s="0" t="s">
        <v>2917</v>
      </c>
      <c r="E29" s="0" t="s">
        <v>2918</v>
      </c>
      <c r="F29" s="0" t="s">
        <v>2894</v>
      </c>
      <c r="G29" s="0" t="s">
        <v>1573</v>
      </c>
    </row>
    <row customHeight="1" ht="11.25">
      <c r="A30" s="0" t="s">
        <v>14</v>
      </c>
      <c r="B30" s="0" t="s">
        <v>99</v>
      </c>
      <c r="C30" s="0" t="s">
        <v>100</v>
      </c>
      <c r="D30" s="0" t="s">
        <v>2919</v>
      </c>
      <c r="E30" s="0" t="s">
        <v>2920</v>
      </c>
      <c r="F30" s="0" t="s">
        <v>2864</v>
      </c>
      <c r="G30" s="0" t="s">
        <v>1576</v>
      </c>
    </row>
    <row customHeight="1" ht="11.25">
      <c r="A31" s="0" t="s">
        <v>14</v>
      </c>
      <c r="B31" s="0" t="s">
        <v>99</v>
      </c>
      <c r="C31" s="0" t="s">
        <v>100</v>
      </c>
      <c r="D31" s="0" t="s">
        <v>2921</v>
      </c>
      <c r="E31" s="0" t="s">
        <v>2922</v>
      </c>
      <c r="F31" s="0" t="s">
        <v>2864</v>
      </c>
      <c r="G31" s="0" t="s">
        <v>1581</v>
      </c>
    </row>
    <row customHeight="1" ht="11.25">
      <c r="A32" s="0" t="s">
        <v>14</v>
      </c>
      <c r="B32" s="0" t="s">
        <v>99</v>
      </c>
      <c r="C32" s="0" t="s">
        <v>100</v>
      </c>
      <c r="D32" s="0" t="s">
        <v>2923</v>
      </c>
      <c r="E32" s="0" t="s">
        <v>2924</v>
      </c>
      <c r="F32" s="0" t="s">
        <v>2894</v>
      </c>
      <c r="G32" s="0" t="s">
        <v>1583</v>
      </c>
    </row>
    <row customHeight="1" ht="11.25">
      <c r="A33" s="0" t="s">
        <v>14</v>
      </c>
      <c r="B33" s="0" t="s">
        <v>99</v>
      </c>
      <c r="C33" s="0" t="s">
        <v>100</v>
      </c>
      <c r="D33" s="0" t="s">
        <v>2925</v>
      </c>
      <c r="E33" s="0" t="s">
        <v>2926</v>
      </c>
      <c r="F33" s="0" t="s">
        <v>2864</v>
      </c>
      <c r="G33" s="0" t="s">
        <v>1585</v>
      </c>
    </row>
    <row customHeight="1" ht="11.25">
      <c r="A34" s="0" t="s">
        <v>14</v>
      </c>
      <c r="B34" s="0" t="s">
        <v>99</v>
      </c>
      <c r="C34" s="0" t="s">
        <v>100</v>
      </c>
      <c r="D34" s="0" t="s">
        <v>2927</v>
      </c>
      <c r="E34" s="0" t="s">
        <v>2928</v>
      </c>
      <c r="F34" s="0" t="s">
        <v>2864</v>
      </c>
      <c r="G34" s="0" t="s">
        <v>1587</v>
      </c>
    </row>
    <row customHeight="1" ht="11.25">
      <c r="A35" s="0" t="s">
        <v>14</v>
      </c>
      <c r="B35" s="0" t="s">
        <v>99</v>
      </c>
      <c r="C35" s="0" t="s">
        <v>100</v>
      </c>
      <c r="D35" s="0" t="s">
        <v>2929</v>
      </c>
      <c r="E35" s="0" t="s">
        <v>2930</v>
      </c>
      <c r="F35" s="0" t="s">
        <v>2864</v>
      </c>
      <c r="G35" s="0" t="s">
        <v>1592</v>
      </c>
    </row>
    <row customHeight="1" ht="11.25">
      <c r="A36" s="0" t="s">
        <v>14</v>
      </c>
      <c r="B36" s="0" t="s">
        <v>99</v>
      </c>
      <c r="C36" s="0" t="s">
        <v>100</v>
      </c>
      <c r="D36" s="0" t="s">
        <v>2931</v>
      </c>
      <c r="E36" s="0" t="s">
        <v>2932</v>
      </c>
      <c r="F36" s="0" t="s">
        <v>2894</v>
      </c>
      <c r="G36" s="0" t="s">
        <v>1597</v>
      </c>
    </row>
    <row customHeight="1" ht="11.25">
      <c r="A37" s="0" t="s">
        <v>14</v>
      </c>
      <c r="B37" s="0" t="s">
        <v>99</v>
      </c>
      <c r="C37" s="0" t="s">
        <v>100</v>
      </c>
      <c r="D37" s="0" t="s">
        <v>2933</v>
      </c>
      <c r="E37" s="0" t="s">
        <v>2934</v>
      </c>
      <c r="F37" s="0" t="s">
        <v>2864</v>
      </c>
      <c r="G37" s="0" t="s">
        <v>1601</v>
      </c>
    </row>
    <row customHeight="1" ht="11.25">
      <c r="A38" s="0" t="s">
        <v>14</v>
      </c>
      <c r="B38" s="0" t="s">
        <v>99</v>
      </c>
      <c r="C38" s="0" t="s">
        <v>100</v>
      </c>
      <c r="D38" s="0" t="s">
        <v>2935</v>
      </c>
      <c r="E38" s="0" t="s">
        <v>2936</v>
      </c>
      <c r="F38" s="0" t="s">
        <v>2864</v>
      </c>
      <c r="G38" s="0" t="s">
        <v>1609</v>
      </c>
    </row>
    <row customHeight="1" ht="11.25">
      <c r="A39" s="0" t="s">
        <v>14</v>
      </c>
      <c r="B39" s="0" t="s">
        <v>99</v>
      </c>
      <c r="C39" s="0" t="s">
        <v>100</v>
      </c>
      <c r="D39" s="0" t="s">
        <v>2937</v>
      </c>
      <c r="E39" s="0" t="s">
        <v>2938</v>
      </c>
      <c r="F39" s="0" t="s">
        <v>2864</v>
      </c>
      <c r="G39" s="0" t="s">
        <v>1615</v>
      </c>
    </row>
    <row customHeight="1" ht="11.25">
      <c r="A40" s="0" t="s">
        <v>14</v>
      </c>
      <c r="B40" s="0" t="s">
        <v>99</v>
      </c>
      <c r="C40" s="0" t="s">
        <v>100</v>
      </c>
      <c r="D40" s="0" t="s">
        <v>2939</v>
      </c>
      <c r="E40" s="0" t="s">
        <v>2940</v>
      </c>
      <c r="F40" s="0" t="s">
        <v>2864</v>
      </c>
      <c r="G40" s="0" t="s">
        <v>1620</v>
      </c>
    </row>
    <row customHeight="1" ht="11.25">
      <c r="A41" s="0" t="s">
        <v>14</v>
      </c>
      <c r="B41" s="0" t="s">
        <v>99</v>
      </c>
      <c r="C41" s="0" t="s">
        <v>100</v>
      </c>
      <c r="D41" s="0" t="s">
        <v>2941</v>
      </c>
      <c r="E41" s="0" t="s">
        <v>2942</v>
      </c>
      <c r="F41" s="0" t="s">
        <v>2864</v>
      </c>
      <c r="G41" s="0" t="s">
        <v>1624</v>
      </c>
    </row>
    <row customHeight="1" ht="11.25">
      <c r="A42" s="0" t="s">
        <v>14</v>
      </c>
      <c r="B42" s="0" t="s">
        <v>99</v>
      </c>
      <c r="C42" s="0" t="s">
        <v>100</v>
      </c>
      <c r="D42" s="0" t="s">
        <v>2943</v>
      </c>
      <c r="E42" s="0" t="s">
        <v>2944</v>
      </c>
      <c r="F42" s="0" t="s">
        <v>2864</v>
      </c>
      <c r="G42" s="0" t="s">
        <v>1627</v>
      </c>
    </row>
    <row customHeight="1" ht="11.25">
      <c r="A43" s="0" t="s">
        <v>14</v>
      </c>
      <c r="B43" s="0" t="s">
        <v>99</v>
      </c>
      <c r="C43" s="0" t="s">
        <v>100</v>
      </c>
      <c r="D43" s="0" t="s">
        <v>2945</v>
      </c>
      <c r="E43" s="0" t="s">
        <v>2946</v>
      </c>
      <c r="F43" s="0" t="s">
        <v>2864</v>
      </c>
      <c r="G43" s="0" t="s">
        <v>1634</v>
      </c>
    </row>
    <row customHeight="1" ht="11.25">
      <c r="A44" s="0" t="s">
        <v>14</v>
      </c>
      <c r="B44" s="0" t="s">
        <v>99</v>
      </c>
      <c r="C44" s="0" t="s">
        <v>100</v>
      </c>
      <c r="D44" s="0" t="s">
        <v>2947</v>
      </c>
      <c r="E44" s="0" t="s">
        <v>2948</v>
      </c>
      <c r="F44" s="0" t="s">
        <v>2864</v>
      </c>
      <c r="G44" s="0" t="s">
        <v>1643</v>
      </c>
    </row>
    <row customHeight="1" ht="11.25">
      <c r="A45" s="0" t="s">
        <v>14</v>
      </c>
      <c r="B45" s="0" t="s">
        <v>99</v>
      </c>
      <c r="C45" s="0" t="s">
        <v>100</v>
      </c>
      <c r="D45" s="0" t="s">
        <v>2949</v>
      </c>
      <c r="E45" s="0" t="s">
        <v>2950</v>
      </c>
      <c r="F45" s="0" t="s">
        <v>2864</v>
      </c>
      <c r="G45" s="0" t="s">
        <v>1648</v>
      </c>
    </row>
    <row customHeight="1" ht="11.25">
      <c r="A46" s="0" t="s">
        <v>14</v>
      </c>
      <c r="B46" s="0" t="s">
        <v>99</v>
      </c>
      <c r="C46" s="0" t="s">
        <v>100</v>
      </c>
      <c r="D46" s="0" t="s">
        <v>2951</v>
      </c>
      <c r="E46" s="0" t="s">
        <v>2952</v>
      </c>
      <c r="F46" s="0" t="s">
        <v>2864</v>
      </c>
      <c r="G46" s="0" t="s">
        <v>1652</v>
      </c>
    </row>
    <row customHeight="1" ht="11.25">
      <c r="A47" s="0" t="s">
        <v>14</v>
      </c>
      <c r="B47" s="0" t="s">
        <v>99</v>
      </c>
      <c r="C47" s="0" t="s">
        <v>100</v>
      </c>
      <c r="D47" s="0" t="s">
        <v>2953</v>
      </c>
      <c r="E47" s="0" t="s">
        <v>2954</v>
      </c>
      <c r="F47" s="0" t="s">
        <v>2864</v>
      </c>
      <c r="G47" s="0" t="s">
        <v>1658</v>
      </c>
    </row>
    <row customHeight="1" ht="11.25">
      <c r="A48" s="0" t="s">
        <v>14</v>
      </c>
      <c r="B48" s="0" t="s">
        <v>99</v>
      </c>
      <c r="C48" s="0" t="s">
        <v>100</v>
      </c>
      <c r="D48" s="0" t="s">
        <v>2955</v>
      </c>
      <c r="E48" s="0" t="s">
        <v>2956</v>
      </c>
      <c r="F48" s="0" t="s">
        <v>2894</v>
      </c>
      <c r="G48" s="0" t="s">
        <v>1663</v>
      </c>
    </row>
    <row customHeight="1" ht="11.25">
      <c r="A49" s="0" t="s">
        <v>14</v>
      </c>
      <c r="B49" s="0" t="s">
        <v>99</v>
      </c>
      <c r="C49" s="0" t="s">
        <v>100</v>
      </c>
      <c r="D49" s="0" t="s">
        <v>2957</v>
      </c>
      <c r="E49" s="0" t="s">
        <v>2958</v>
      </c>
      <c r="F49" s="0" t="s">
        <v>2864</v>
      </c>
      <c r="G49" s="0" t="s">
        <v>1666</v>
      </c>
    </row>
    <row customHeight="1" ht="11.25">
      <c r="A50" s="0" t="s">
        <v>14</v>
      </c>
      <c r="B50" s="0" t="s">
        <v>99</v>
      </c>
      <c r="C50" s="0" t="s">
        <v>100</v>
      </c>
      <c r="D50" s="0" t="s">
        <v>2959</v>
      </c>
      <c r="E50" s="0" t="s">
        <v>2960</v>
      </c>
      <c r="F50" s="0" t="s">
        <v>2864</v>
      </c>
      <c r="G50" s="0" t="s">
        <v>1670</v>
      </c>
    </row>
    <row customHeight="1" ht="11.25">
      <c r="A51" s="0" t="s">
        <v>14</v>
      </c>
      <c r="B51" s="0" t="s">
        <v>99</v>
      </c>
      <c r="C51" s="0" t="s">
        <v>100</v>
      </c>
      <c r="D51" s="0" t="s">
        <v>2961</v>
      </c>
      <c r="E51" s="0" t="s">
        <v>2962</v>
      </c>
      <c r="F51" s="0" t="s">
        <v>2894</v>
      </c>
      <c r="G51" s="0" t="s">
        <v>1674</v>
      </c>
    </row>
    <row customHeight="1" ht="11.25">
      <c r="A52" s="0" t="s">
        <v>14</v>
      </c>
      <c r="B52" s="0" t="s">
        <v>99</v>
      </c>
      <c r="C52" s="0" t="s">
        <v>100</v>
      </c>
      <c r="D52" s="0" t="s">
        <v>2963</v>
      </c>
      <c r="E52" s="0" t="s">
        <v>2964</v>
      </c>
      <c r="F52" s="0" t="s">
        <v>2894</v>
      </c>
      <c r="G52" s="0" t="s">
        <v>1678</v>
      </c>
    </row>
    <row customHeight="1" ht="11.25">
      <c r="A53" s="0" t="s">
        <v>14</v>
      </c>
      <c r="B53" s="0" t="s">
        <v>99</v>
      </c>
      <c r="C53" s="0" t="s">
        <v>100</v>
      </c>
      <c r="D53" s="0" t="s">
        <v>2965</v>
      </c>
      <c r="E53" s="0" t="s">
        <v>2966</v>
      </c>
      <c r="F53" s="0" t="s">
        <v>2864</v>
      </c>
      <c r="G53" s="0" t="s">
        <v>1680</v>
      </c>
    </row>
    <row customHeight="1" ht="11.25">
      <c r="A54" s="0" t="s">
        <v>14</v>
      </c>
      <c r="B54" s="0" t="s">
        <v>99</v>
      </c>
      <c r="C54" s="0" t="s">
        <v>100</v>
      </c>
      <c r="D54" s="0" t="s">
        <v>2967</v>
      </c>
      <c r="E54" s="0" t="s">
        <v>2968</v>
      </c>
      <c r="F54" s="0" t="s">
        <v>2864</v>
      </c>
      <c r="G54" s="0" t="s">
        <v>1683</v>
      </c>
    </row>
    <row customHeight="1" ht="11.25">
      <c r="A55" s="0" t="s">
        <v>14</v>
      </c>
      <c r="B55" s="0" t="s">
        <v>99</v>
      </c>
      <c r="C55" s="0" t="s">
        <v>100</v>
      </c>
      <c r="D55" s="0" t="s">
        <v>2969</v>
      </c>
      <c r="E55" s="0" t="s">
        <v>2970</v>
      </c>
      <c r="F55" s="0" t="s">
        <v>2864</v>
      </c>
      <c r="G55" s="0" t="s">
        <v>1687</v>
      </c>
    </row>
    <row customHeight="1" ht="11.25">
      <c r="A56" s="0" t="s">
        <v>14</v>
      </c>
      <c r="B56" s="0" t="s">
        <v>99</v>
      </c>
      <c r="C56" s="0" t="s">
        <v>100</v>
      </c>
      <c r="D56" s="0" t="s">
        <v>2971</v>
      </c>
      <c r="E56" s="0" t="s">
        <v>2972</v>
      </c>
      <c r="F56" s="0" t="s">
        <v>2864</v>
      </c>
      <c r="G56" s="0" t="s">
        <v>1690</v>
      </c>
    </row>
    <row customHeight="1" ht="11.25">
      <c r="A57" s="0" t="s">
        <v>14</v>
      </c>
      <c r="B57" s="0" t="s">
        <v>99</v>
      </c>
      <c r="C57" s="0" t="s">
        <v>100</v>
      </c>
      <c r="D57" s="0" t="s">
        <v>2973</v>
      </c>
      <c r="E57" s="0" t="s">
        <v>2974</v>
      </c>
      <c r="F57" s="0" t="s">
        <v>2864</v>
      </c>
      <c r="G57" s="0" t="s">
        <v>1693</v>
      </c>
    </row>
    <row customHeight="1" ht="11.25">
      <c r="A58" s="0" t="s">
        <v>14</v>
      </c>
      <c r="B58" s="0" t="s">
        <v>99</v>
      </c>
      <c r="C58" s="0" t="s">
        <v>100</v>
      </c>
      <c r="D58" s="0" t="s">
        <v>2975</v>
      </c>
      <c r="E58" s="0" t="s">
        <v>2976</v>
      </c>
      <c r="F58" s="0" t="s">
        <v>2864</v>
      </c>
      <c r="G58" s="0" t="s">
        <v>1696</v>
      </c>
    </row>
    <row customHeight="1" ht="11.25">
      <c r="A59" s="0" t="s">
        <v>14</v>
      </c>
      <c r="B59" s="0" t="s">
        <v>99</v>
      </c>
      <c r="C59" s="0" t="s">
        <v>100</v>
      </c>
      <c r="D59" s="0" t="s">
        <v>2977</v>
      </c>
      <c r="E59" s="0" t="s">
        <v>2978</v>
      </c>
      <c r="F59" s="0" t="s">
        <v>2864</v>
      </c>
      <c r="G59" s="0" t="s">
        <v>1700</v>
      </c>
    </row>
    <row customHeight="1" ht="11.25">
      <c r="A60" s="0" t="s">
        <v>14</v>
      </c>
      <c r="B60" s="0" t="s">
        <v>99</v>
      </c>
      <c r="C60" s="0" t="s">
        <v>100</v>
      </c>
      <c r="D60" s="0" t="s">
        <v>2979</v>
      </c>
      <c r="E60" s="0" t="s">
        <v>2980</v>
      </c>
      <c r="F60" s="0" t="s">
        <v>2864</v>
      </c>
      <c r="G60" s="0" t="s">
        <v>1703</v>
      </c>
    </row>
    <row customHeight="1" ht="11.25">
      <c r="A61" s="0" t="s">
        <v>14</v>
      </c>
      <c r="B61" s="0" t="s">
        <v>99</v>
      </c>
      <c r="C61" s="0" t="s">
        <v>100</v>
      </c>
      <c r="D61" s="0" t="s">
        <v>2981</v>
      </c>
      <c r="E61" s="0" t="s">
        <v>2982</v>
      </c>
      <c r="F61" s="0" t="s">
        <v>2864</v>
      </c>
      <c r="G61" s="0" t="s">
        <v>2983</v>
      </c>
    </row>
    <row customHeight="1" ht="11.25">
      <c r="A62" s="0" t="s">
        <v>14</v>
      </c>
      <c r="B62" s="0" t="s">
        <v>99</v>
      </c>
      <c r="C62" s="0" t="s">
        <v>100</v>
      </c>
      <c r="D62" s="0" t="s">
        <v>2984</v>
      </c>
      <c r="E62" s="0" t="s">
        <v>2985</v>
      </c>
      <c r="F62" s="0" t="s">
        <v>2864</v>
      </c>
      <c r="G62" s="0" t="s">
        <v>2986</v>
      </c>
    </row>
    <row customHeight="1" ht="11.25">
      <c r="A63" s="0" t="s">
        <v>14</v>
      </c>
      <c r="B63" s="0" t="s">
        <v>99</v>
      </c>
      <c r="C63" s="0" t="s">
        <v>100</v>
      </c>
      <c r="D63" s="0" t="s">
        <v>2987</v>
      </c>
      <c r="E63" s="0" t="s">
        <v>2988</v>
      </c>
      <c r="F63" s="0" t="s">
        <v>2864</v>
      </c>
      <c r="G63" s="0" t="s">
        <v>2989</v>
      </c>
    </row>
    <row customHeight="1" ht="11.25">
      <c r="A64" s="0" t="s">
        <v>14</v>
      </c>
      <c r="B64" s="0" t="s">
        <v>99</v>
      </c>
      <c r="C64" s="0" t="s">
        <v>100</v>
      </c>
      <c r="D64" s="0" t="s">
        <v>2990</v>
      </c>
      <c r="E64" s="0" t="s">
        <v>2991</v>
      </c>
      <c r="F64" s="0" t="s">
        <v>2864</v>
      </c>
      <c r="G64" s="0" t="s">
        <v>2992</v>
      </c>
    </row>
    <row customHeight="1" ht="11.25">
      <c r="A65" s="0" t="s">
        <v>14</v>
      </c>
      <c r="B65" s="0" t="s">
        <v>99</v>
      </c>
      <c r="C65" s="0" t="s">
        <v>100</v>
      </c>
      <c r="D65" s="0" t="s">
        <v>2993</v>
      </c>
      <c r="E65" s="0" t="s">
        <v>2994</v>
      </c>
      <c r="F65" s="0" t="s">
        <v>2864</v>
      </c>
      <c r="G65" s="0" t="s">
        <v>2995</v>
      </c>
    </row>
    <row customHeight="1" ht="11.25">
      <c r="A66" s="0" t="s">
        <v>14</v>
      </c>
      <c r="B66" s="0" t="s">
        <v>99</v>
      </c>
      <c r="C66" s="0" t="s">
        <v>100</v>
      </c>
      <c r="D66" s="0" t="s">
        <v>2996</v>
      </c>
      <c r="E66" s="0" t="s">
        <v>2997</v>
      </c>
      <c r="F66" s="0" t="s">
        <v>2864</v>
      </c>
      <c r="G66" s="0" t="s">
        <v>2998</v>
      </c>
    </row>
    <row customHeight="1" ht="11.25">
      <c r="A67" s="0" t="s">
        <v>14</v>
      </c>
      <c r="B67" s="0" t="s">
        <v>99</v>
      </c>
      <c r="C67" s="0" t="s">
        <v>100</v>
      </c>
      <c r="D67" s="0" t="s">
        <v>2999</v>
      </c>
      <c r="E67" s="0" t="s">
        <v>3000</v>
      </c>
      <c r="F67" s="0" t="s">
        <v>2864</v>
      </c>
      <c r="G67" s="0" t="s">
        <v>1925</v>
      </c>
    </row>
    <row customHeight="1" ht="11.25">
      <c r="A68" s="0" t="s">
        <v>14</v>
      </c>
      <c r="B68" s="0" t="s">
        <v>99</v>
      </c>
      <c r="C68" s="0" t="s">
        <v>100</v>
      </c>
      <c r="D68" s="0" t="s">
        <v>3001</v>
      </c>
      <c r="E68" s="0" t="s">
        <v>3002</v>
      </c>
      <c r="F68" s="0" t="s">
        <v>2864</v>
      </c>
      <c r="G68" s="0" t="s">
        <v>3003</v>
      </c>
    </row>
    <row customHeight="1" ht="11.25">
      <c r="A69" s="0" t="s">
        <v>14</v>
      </c>
      <c r="B69" s="0" t="s">
        <v>99</v>
      </c>
      <c r="C69" s="0" t="s">
        <v>100</v>
      </c>
      <c r="D69" s="0" t="s">
        <v>3004</v>
      </c>
      <c r="E69" s="0" t="s">
        <v>3005</v>
      </c>
      <c r="F69" s="0" t="s">
        <v>2864</v>
      </c>
      <c r="G69" s="0" t="s">
        <v>2136</v>
      </c>
    </row>
    <row customHeight="1" ht="11.25">
      <c r="A70" s="0" t="s">
        <v>14</v>
      </c>
      <c r="B70" s="0" t="s">
        <v>99</v>
      </c>
      <c r="C70" s="0" t="s">
        <v>100</v>
      </c>
      <c r="D70" s="0" t="s">
        <v>3006</v>
      </c>
      <c r="E70" s="0" t="s">
        <v>3007</v>
      </c>
      <c r="F70" s="0" t="s">
        <v>2864</v>
      </c>
      <c r="G70" s="0" t="s">
        <v>3008</v>
      </c>
    </row>
    <row customHeight="1" ht="11.25">
      <c r="A71" s="0" t="s">
        <v>14</v>
      </c>
      <c r="B71" s="0" t="s">
        <v>99</v>
      </c>
      <c r="C71" s="0" t="s">
        <v>100</v>
      </c>
      <c r="D71" s="0" t="s">
        <v>3009</v>
      </c>
      <c r="E71" s="0" t="s">
        <v>3010</v>
      </c>
      <c r="F71" s="0" t="s">
        <v>2864</v>
      </c>
      <c r="G71" s="0" t="s">
        <v>3011</v>
      </c>
    </row>
    <row customHeight="1" ht="11.25">
      <c r="A72" s="0" t="s">
        <v>14</v>
      </c>
      <c r="B72" s="0" t="s">
        <v>99</v>
      </c>
      <c r="C72" s="0" t="s">
        <v>100</v>
      </c>
      <c r="D72" s="0" t="s">
        <v>3012</v>
      </c>
      <c r="E72" s="0" t="s">
        <v>3013</v>
      </c>
      <c r="F72" s="0" t="s">
        <v>2864</v>
      </c>
      <c r="G72" s="0" t="s">
        <v>3014</v>
      </c>
    </row>
    <row customHeight="1" ht="11.25">
      <c r="A73" s="0" t="s">
        <v>14</v>
      </c>
      <c r="B73" s="0" t="s">
        <v>99</v>
      </c>
      <c r="C73" s="0" t="s">
        <v>100</v>
      </c>
      <c r="D73" s="0" t="s">
        <v>3015</v>
      </c>
      <c r="E73" s="0" t="s">
        <v>3016</v>
      </c>
      <c r="F73" s="0" t="s">
        <v>2864</v>
      </c>
      <c r="G73" s="0" t="s">
        <v>3017</v>
      </c>
    </row>
    <row customHeight="1" ht="11.25">
      <c r="A74" s="0" t="s">
        <v>14</v>
      </c>
      <c r="B74" s="0" t="s">
        <v>99</v>
      </c>
      <c r="C74" s="0" t="s">
        <v>100</v>
      </c>
      <c r="D74" s="0" t="s">
        <v>3018</v>
      </c>
      <c r="E74" s="0" t="s">
        <v>3019</v>
      </c>
      <c r="F74" s="0" t="s">
        <v>2864</v>
      </c>
      <c r="G74" s="0" t="s">
        <v>3020</v>
      </c>
    </row>
    <row customHeight="1" ht="11.25">
      <c r="A75" s="0" t="s">
        <v>14</v>
      </c>
      <c r="B75" s="0" t="s">
        <v>99</v>
      </c>
      <c r="C75" s="0" t="s">
        <v>100</v>
      </c>
      <c r="D75" s="0" t="s">
        <v>3021</v>
      </c>
      <c r="E75" s="0" t="s">
        <v>3022</v>
      </c>
      <c r="F75" s="0" t="s">
        <v>2864</v>
      </c>
      <c r="G75" s="0" t="s">
        <v>3023</v>
      </c>
    </row>
    <row customHeight="1" ht="11.25">
      <c r="A76" s="0" t="s">
        <v>14</v>
      </c>
      <c r="B76" s="0" t="s">
        <v>99</v>
      </c>
      <c r="C76" s="0" t="s">
        <v>100</v>
      </c>
      <c r="D76" s="0" t="s">
        <v>3024</v>
      </c>
      <c r="E76" s="0" t="s">
        <v>3025</v>
      </c>
      <c r="F76" s="0" t="s">
        <v>2864</v>
      </c>
      <c r="G76" s="0" t="s">
        <v>3026</v>
      </c>
    </row>
    <row customHeight="1" ht="11.25">
      <c r="A77" s="0" t="s">
        <v>14</v>
      </c>
      <c r="B77" s="0" t="s">
        <v>99</v>
      </c>
      <c r="C77" s="0" t="s">
        <v>100</v>
      </c>
      <c r="D77" s="0" t="s">
        <v>3027</v>
      </c>
      <c r="E77" s="0" t="s">
        <v>3028</v>
      </c>
      <c r="F77" s="0" t="s">
        <v>2864</v>
      </c>
      <c r="G77" s="0" t="s">
        <v>3029</v>
      </c>
    </row>
    <row customHeight="1" ht="11.25">
      <c r="A78" s="0" t="s">
        <v>14</v>
      </c>
      <c r="B78" s="0" t="s">
        <v>99</v>
      </c>
      <c r="C78" s="0" t="s">
        <v>100</v>
      </c>
      <c r="D78" s="0" t="s">
        <v>3030</v>
      </c>
      <c r="E78" s="0" t="s">
        <v>3031</v>
      </c>
      <c r="F78" s="0" t="s">
        <v>2864</v>
      </c>
      <c r="G78" s="0" t="s">
        <v>3032</v>
      </c>
    </row>
    <row customHeight="1" ht="11.25">
      <c r="A79" s="0" t="s">
        <v>14</v>
      </c>
      <c r="B79" s="0" t="s">
        <v>99</v>
      </c>
      <c r="C79" s="0" t="s">
        <v>100</v>
      </c>
      <c r="D79" s="0" t="s">
        <v>3033</v>
      </c>
      <c r="E79" s="0" t="s">
        <v>3034</v>
      </c>
      <c r="F79" s="0" t="s">
        <v>2864</v>
      </c>
      <c r="G79" s="0" t="s">
        <v>3035</v>
      </c>
    </row>
    <row customHeight="1" ht="11.25">
      <c r="A80" s="0" t="s">
        <v>14</v>
      </c>
      <c r="B80" s="0" t="s">
        <v>99</v>
      </c>
      <c r="C80" s="0" t="s">
        <v>100</v>
      </c>
      <c r="D80" s="0" t="s">
        <v>3036</v>
      </c>
      <c r="E80" s="0" t="s">
        <v>3037</v>
      </c>
      <c r="F80" s="0" t="s">
        <v>2864</v>
      </c>
      <c r="G80" s="0" t="s">
        <v>3038</v>
      </c>
    </row>
    <row customHeight="1" ht="11.25">
      <c r="A81" s="0" t="s">
        <v>14</v>
      </c>
      <c r="B81" s="0" t="s">
        <v>99</v>
      </c>
      <c r="C81" s="0" t="s">
        <v>100</v>
      </c>
      <c r="D81" s="0" t="s">
        <v>3039</v>
      </c>
      <c r="E81" s="0" t="s">
        <v>3040</v>
      </c>
      <c r="F81" s="0" t="s">
        <v>2894</v>
      </c>
      <c r="G81" s="0" t="s">
        <v>3041</v>
      </c>
    </row>
    <row customHeight="1" ht="11.25">
      <c r="A82" s="0" t="s">
        <v>14</v>
      </c>
      <c r="B82" s="0" t="s">
        <v>99</v>
      </c>
      <c r="C82" s="0" t="s">
        <v>100</v>
      </c>
      <c r="D82" s="0" t="s">
        <v>3042</v>
      </c>
      <c r="E82" s="0" t="s">
        <v>3043</v>
      </c>
      <c r="F82" s="0" t="s">
        <v>2864</v>
      </c>
      <c r="G82" s="0" t="s">
        <v>3044</v>
      </c>
    </row>
    <row customHeight="1" ht="11.25">
      <c r="A83" s="0" t="s">
        <v>14</v>
      </c>
      <c r="B83" s="0" t="s">
        <v>99</v>
      </c>
      <c r="C83" s="0" t="s">
        <v>100</v>
      </c>
      <c r="D83" s="0" t="s">
        <v>3045</v>
      </c>
      <c r="E83" s="0" t="s">
        <v>3046</v>
      </c>
      <c r="F83" s="0" t="s">
        <v>2864</v>
      </c>
      <c r="G83" s="0" t="s">
        <v>3047</v>
      </c>
    </row>
    <row customHeight="1" ht="11.25">
      <c r="A84" s="0" t="s">
        <v>14</v>
      </c>
      <c r="B84" s="0" t="s">
        <v>99</v>
      </c>
      <c r="C84" s="0" t="s">
        <v>100</v>
      </c>
      <c r="D84" s="0" t="s">
        <v>3048</v>
      </c>
      <c r="E84" s="0" t="s">
        <v>3049</v>
      </c>
      <c r="F84" s="0" t="s">
        <v>2864</v>
      </c>
      <c r="G84" s="0" t="s">
        <v>3050</v>
      </c>
    </row>
    <row customHeight="1" ht="11.25">
      <c r="A85" s="0" t="s">
        <v>14</v>
      </c>
      <c r="B85" s="0" t="s">
        <v>99</v>
      </c>
      <c r="C85" s="0" t="s">
        <v>100</v>
      </c>
      <c r="D85" s="0" t="s">
        <v>3051</v>
      </c>
      <c r="E85" s="0" t="s">
        <v>3052</v>
      </c>
      <c r="F85" s="0" t="s">
        <v>2864</v>
      </c>
      <c r="G85" s="0" t="s">
        <v>3053</v>
      </c>
    </row>
    <row customHeight="1" ht="11.25">
      <c r="A86" s="0" t="s">
        <v>14</v>
      </c>
      <c r="B86" s="0" t="s">
        <v>99</v>
      </c>
      <c r="C86" s="0" t="s">
        <v>100</v>
      </c>
      <c r="D86" s="0" t="s">
        <v>3054</v>
      </c>
      <c r="E86" s="0" t="s">
        <v>3055</v>
      </c>
      <c r="F86" s="0" t="s">
        <v>2864</v>
      </c>
      <c r="G86" s="0" t="s">
        <v>3056</v>
      </c>
    </row>
    <row customHeight="1" ht="11.25">
      <c r="A87" s="0" t="s">
        <v>14</v>
      </c>
      <c r="B87" s="0" t="s">
        <v>99</v>
      </c>
      <c r="C87" s="0" t="s">
        <v>100</v>
      </c>
      <c r="D87" s="0" t="s">
        <v>3057</v>
      </c>
      <c r="E87" s="0" t="s">
        <v>3058</v>
      </c>
      <c r="F87" s="0" t="s">
        <v>2864</v>
      </c>
      <c r="G87" s="0" t="s">
        <v>3059</v>
      </c>
    </row>
    <row customHeight="1" ht="11.25">
      <c r="A88" s="0" t="s">
        <v>14</v>
      </c>
      <c r="B88" s="0" t="s">
        <v>99</v>
      </c>
      <c r="C88" s="0" t="s">
        <v>100</v>
      </c>
      <c r="D88" s="0" t="s">
        <v>3060</v>
      </c>
      <c r="E88" s="0" t="s">
        <v>3061</v>
      </c>
      <c r="F88" s="0" t="s">
        <v>2864</v>
      </c>
      <c r="G88" s="0" t="s">
        <v>3062</v>
      </c>
    </row>
    <row customHeight="1" ht="11.25">
      <c r="A89" s="0" t="s">
        <v>14</v>
      </c>
      <c r="B89" s="0" t="s">
        <v>99</v>
      </c>
      <c r="C89" s="0" t="s">
        <v>100</v>
      </c>
      <c r="D89" s="0" t="s">
        <v>3063</v>
      </c>
      <c r="E89" s="0" t="s">
        <v>3064</v>
      </c>
      <c r="F89" s="0" t="s">
        <v>2864</v>
      </c>
      <c r="G89" s="0" t="s">
        <v>3065</v>
      </c>
    </row>
    <row customHeight="1" ht="11.25">
      <c r="A90" s="0" t="s">
        <v>14</v>
      </c>
      <c r="B90" s="0" t="s">
        <v>99</v>
      </c>
      <c r="C90" s="0" t="s">
        <v>100</v>
      </c>
      <c r="D90" s="0" t="s">
        <v>3066</v>
      </c>
      <c r="E90" s="0" t="s">
        <v>3067</v>
      </c>
      <c r="F90" s="0" t="s">
        <v>2864</v>
      </c>
      <c r="G90" s="0" t="s">
        <v>3068</v>
      </c>
    </row>
    <row customHeight="1" ht="11.25">
      <c r="A91" s="0" t="s">
        <v>14</v>
      </c>
      <c r="B91" s="0" t="s">
        <v>99</v>
      </c>
      <c r="C91" s="0" t="s">
        <v>100</v>
      </c>
      <c r="D91" s="0" t="s">
        <v>3069</v>
      </c>
      <c r="E91" s="0" t="s">
        <v>3070</v>
      </c>
      <c r="F91" s="0" t="s">
        <v>2864</v>
      </c>
      <c r="G91" s="0" t="s">
        <v>3071</v>
      </c>
    </row>
    <row customHeight="1" ht="11.25">
      <c r="A92" s="0" t="s">
        <v>14</v>
      </c>
      <c r="B92" s="0" t="s">
        <v>99</v>
      </c>
      <c r="C92" s="0" t="s">
        <v>100</v>
      </c>
      <c r="D92" s="0" t="s">
        <v>3072</v>
      </c>
      <c r="E92" s="0" t="s">
        <v>3073</v>
      </c>
      <c r="F92" s="0" t="s">
        <v>2864</v>
      </c>
      <c r="G92" s="0" t="s">
        <v>3074</v>
      </c>
    </row>
    <row customHeight="1" ht="11.25">
      <c r="A93" s="0" t="s">
        <v>14</v>
      </c>
      <c r="B93" s="0" t="s">
        <v>99</v>
      </c>
      <c r="C93" s="0" t="s">
        <v>100</v>
      </c>
      <c r="D93" s="0" t="s">
        <v>3075</v>
      </c>
      <c r="E93" s="0" t="s">
        <v>3076</v>
      </c>
      <c r="F93" s="0" t="s">
        <v>2864</v>
      </c>
      <c r="G93" s="0" t="s">
        <v>3077</v>
      </c>
    </row>
    <row customHeight="1" ht="11.25">
      <c r="A94" s="0" t="s">
        <v>14</v>
      </c>
      <c r="B94" s="0" t="s">
        <v>99</v>
      </c>
      <c r="C94" s="0" t="s">
        <v>100</v>
      </c>
      <c r="D94" s="0" t="s">
        <v>3078</v>
      </c>
      <c r="E94" s="0" t="s">
        <v>3079</v>
      </c>
      <c r="F94" s="0" t="s">
        <v>2864</v>
      </c>
      <c r="G94" s="0" t="s">
        <v>3080</v>
      </c>
    </row>
    <row customHeight="1" ht="11.25">
      <c r="A95" s="0" t="s">
        <v>14</v>
      </c>
      <c r="B95" s="0" t="s">
        <v>99</v>
      </c>
      <c r="C95" s="0" t="s">
        <v>100</v>
      </c>
      <c r="D95" s="0" t="s">
        <v>3081</v>
      </c>
      <c r="E95" s="0" t="s">
        <v>3082</v>
      </c>
      <c r="F95" s="0" t="s">
        <v>2864</v>
      </c>
      <c r="G95" s="0" t="s">
        <v>3083</v>
      </c>
    </row>
    <row customHeight="1" ht="11.25">
      <c r="A96" s="0" t="s">
        <v>14</v>
      </c>
      <c r="B96" s="0" t="s">
        <v>99</v>
      </c>
      <c r="C96" s="0" t="s">
        <v>100</v>
      </c>
      <c r="D96" s="0" t="s">
        <v>3084</v>
      </c>
      <c r="E96" s="0" t="s">
        <v>3085</v>
      </c>
      <c r="F96" s="0" t="s">
        <v>2864</v>
      </c>
      <c r="G96" s="0" t="s">
        <v>3086</v>
      </c>
    </row>
    <row customHeight="1" ht="11.25">
      <c r="A97" s="0" t="s">
        <v>14</v>
      </c>
      <c r="B97" s="0" t="s">
        <v>99</v>
      </c>
      <c r="C97" s="0" t="s">
        <v>100</v>
      </c>
      <c r="D97" s="0" t="s">
        <v>3087</v>
      </c>
      <c r="E97" s="0" t="s">
        <v>3088</v>
      </c>
      <c r="F97" s="0" t="s">
        <v>2864</v>
      </c>
      <c r="G97" s="0" t="s">
        <v>3089</v>
      </c>
    </row>
    <row customHeight="1" ht="11.25">
      <c r="A98" s="0" t="s">
        <v>14</v>
      </c>
      <c r="B98" s="0" t="s">
        <v>99</v>
      </c>
      <c r="C98" s="0" t="s">
        <v>100</v>
      </c>
      <c r="D98" s="0" t="s">
        <v>3090</v>
      </c>
      <c r="E98" s="0" t="s">
        <v>3091</v>
      </c>
      <c r="F98" s="0" t="s">
        <v>2864</v>
      </c>
      <c r="G98" s="0" t="s">
        <v>3092</v>
      </c>
    </row>
    <row customHeight="1" ht="11.25">
      <c r="A99" s="0" t="s">
        <v>14</v>
      </c>
      <c r="B99" s="0" t="s">
        <v>99</v>
      </c>
      <c r="C99" s="0" t="s">
        <v>100</v>
      </c>
      <c r="D99" s="0" t="s">
        <v>3093</v>
      </c>
      <c r="E99" s="0" t="s">
        <v>3094</v>
      </c>
      <c r="F99" s="0" t="s">
        <v>2864</v>
      </c>
      <c r="G99" s="0" t="s">
        <v>3095</v>
      </c>
    </row>
    <row customHeight="1" ht="11.25">
      <c r="A100" s="0" t="s">
        <v>14</v>
      </c>
      <c r="B100" s="0" t="s">
        <v>99</v>
      </c>
      <c r="C100" s="0" t="s">
        <v>100</v>
      </c>
      <c r="D100" s="0" t="s">
        <v>3096</v>
      </c>
      <c r="E100" s="0" t="s">
        <v>3097</v>
      </c>
      <c r="F100" s="0" t="s">
        <v>2864</v>
      </c>
      <c r="G100" s="0" t="s">
        <v>3098</v>
      </c>
    </row>
    <row customHeight="1" ht="11.25">
      <c r="A101" s="0" t="s">
        <v>14</v>
      </c>
      <c r="B101" s="0" t="s">
        <v>99</v>
      </c>
      <c r="C101" s="0" t="s">
        <v>100</v>
      </c>
      <c r="D101" s="0" t="s">
        <v>3099</v>
      </c>
      <c r="E101" s="0" t="s">
        <v>3100</v>
      </c>
      <c r="F101" s="0" t="s">
        <v>2864</v>
      </c>
      <c r="G101" s="0" t="s">
        <v>3101</v>
      </c>
    </row>
    <row customHeight="1" ht="11.25">
      <c r="A102" s="0" t="s">
        <v>14</v>
      </c>
      <c r="B102" s="0" t="s">
        <v>99</v>
      </c>
      <c r="C102" s="0" t="s">
        <v>100</v>
      </c>
      <c r="D102" s="0" t="s">
        <v>3102</v>
      </c>
      <c r="E102" s="0" t="s">
        <v>3103</v>
      </c>
      <c r="F102" s="0" t="s">
        <v>2864</v>
      </c>
      <c r="G102" s="0" t="s">
        <v>3104</v>
      </c>
    </row>
    <row customHeight="1" ht="11.25">
      <c r="A103" s="0" t="s">
        <v>14</v>
      </c>
      <c r="B103" s="0" t="s">
        <v>99</v>
      </c>
      <c r="C103" s="0" t="s">
        <v>100</v>
      </c>
      <c r="D103" s="0" t="s">
        <v>3105</v>
      </c>
      <c r="E103" s="0" t="s">
        <v>3106</v>
      </c>
      <c r="F103" s="0" t="s">
        <v>2864</v>
      </c>
      <c r="G103" s="0" t="s">
        <v>3107</v>
      </c>
    </row>
    <row customHeight="1" ht="11.25">
      <c r="A104" s="0" t="s">
        <v>14</v>
      </c>
      <c r="B104" s="0" t="s">
        <v>99</v>
      </c>
      <c r="C104" s="0" t="s">
        <v>100</v>
      </c>
      <c r="D104" s="0" t="s">
        <v>3108</v>
      </c>
      <c r="E104" s="0" t="s">
        <v>3109</v>
      </c>
      <c r="F104" s="0" t="s">
        <v>2864</v>
      </c>
      <c r="G104" s="0" t="s">
        <v>3110</v>
      </c>
    </row>
    <row customHeight="1" ht="11.25">
      <c r="A105" s="0" t="s">
        <v>14</v>
      </c>
      <c r="B105" s="0" t="s">
        <v>99</v>
      </c>
      <c r="C105" s="0" t="s">
        <v>100</v>
      </c>
      <c r="D105" s="0" t="s">
        <v>3111</v>
      </c>
      <c r="E105" s="0" t="s">
        <v>3112</v>
      </c>
      <c r="F105" s="0" t="s">
        <v>2864</v>
      </c>
      <c r="G105" s="0" t="s">
        <v>3113</v>
      </c>
    </row>
    <row customHeight="1" ht="11.25">
      <c r="A106" s="0" t="s">
        <v>14</v>
      </c>
      <c r="B106" s="0" t="s">
        <v>99</v>
      </c>
      <c r="C106" s="0" t="s">
        <v>100</v>
      </c>
      <c r="D106" s="0" t="s">
        <v>3114</v>
      </c>
      <c r="E106" s="0" t="s">
        <v>3115</v>
      </c>
      <c r="F106" s="0" t="s">
        <v>2864</v>
      </c>
      <c r="G106" s="0" t="s">
        <v>3116</v>
      </c>
    </row>
    <row customHeight="1" ht="11.25">
      <c r="A107" s="0" t="s">
        <v>14</v>
      </c>
      <c r="B107" s="0" t="s">
        <v>99</v>
      </c>
      <c r="C107" s="0" t="s">
        <v>100</v>
      </c>
      <c r="D107" s="0" t="s">
        <v>3117</v>
      </c>
      <c r="E107" s="0" t="s">
        <v>3118</v>
      </c>
      <c r="F107" s="0" t="s">
        <v>2864</v>
      </c>
      <c r="G107" s="0" t="s">
        <v>3119</v>
      </c>
    </row>
    <row customHeight="1" ht="11.25">
      <c r="A108" s="0" t="s">
        <v>14</v>
      </c>
      <c r="B108" s="0" t="s">
        <v>99</v>
      </c>
      <c r="C108" s="0" t="s">
        <v>100</v>
      </c>
      <c r="D108" s="0" t="s">
        <v>3120</v>
      </c>
      <c r="E108" s="0" t="s">
        <v>3121</v>
      </c>
      <c r="F108" s="0" t="s">
        <v>2864</v>
      </c>
      <c r="G108" s="0" t="s">
        <v>3122</v>
      </c>
    </row>
    <row customHeight="1" ht="11.25">
      <c r="A109" s="0" t="s">
        <v>14</v>
      </c>
      <c r="B109" s="0" t="s">
        <v>99</v>
      </c>
      <c r="C109" s="0" t="s">
        <v>100</v>
      </c>
      <c r="D109" s="0" t="s">
        <v>3123</v>
      </c>
      <c r="E109" s="0" t="s">
        <v>3124</v>
      </c>
      <c r="F109" s="0" t="s">
        <v>2864</v>
      </c>
      <c r="G109" s="0" t="s">
        <v>3125</v>
      </c>
    </row>
    <row customHeight="1" ht="11.25">
      <c r="A110" s="0" t="s">
        <v>14</v>
      </c>
      <c r="B110" s="0" t="s">
        <v>99</v>
      </c>
      <c r="C110" s="0" t="s">
        <v>100</v>
      </c>
      <c r="D110" s="0" t="s">
        <v>3126</v>
      </c>
      <c r="E110" s="0" t="s">
        <v>3127</v>
      </c>
      <c r="F110" s="0" t="s">
        <v>2864</v>
      </c>
      <c r="G110" s="0" t="s">
        <v>3128</v>
      </c>
    </row>
    <row customHeight="1" ht="11.25">
      <c r="A111" s="0" t="s">
        <v>14</v>
      </c>
      <c r="B111" s="0" t="s">
        <v>99</v>
      </c>
      <c r="C111" s="0" t="s">
        <v>100</v>
      </c>
      <c r="D111" s="0" t="s">
        <v>3129</v>
      </c>
      <c r="E111" s="0" t="s">
        <v>3130</v>
      </c>
      <c r="F111" s="0" t="s">
        <v>2864</v>
      </c>
      <c r="G111" s="0" t="s">
        <v>3131</v>
      </c>
    </row>
    <row customHeight="1" ht="11.25">
      <c r="A112" s="0" t="s">
        <v>14</v>
      </c>
      <c r="B112" s="0" t="s">
        <v>99</v>
      </c>
      <c r="C112" s="0" t="s">
        <v>100</v>
      </c>
      <c r="D112" s="0" t="s">
        <v>3132</v>
      </c>
      <c r="E112" s="0" t="s">
        <v>3133</v>
      </c>
      <c r="F112" s="0" t="s">
        <v>2864</v>
      </c>
      <c r="G112" s="0" t="s">
        <v>3134</v>
      </c>
    </row>
    <row customHeight="1" ht="11.25">
      <c r="A113" s="0" t="s">
        <v>14</v>
      </c>
      <c r="B113" s="0" t="s">
        <v>99</v>
      </c>
      <c r="C113" s="0" t="s">
        <v>100</v>
      </c>
      <c r="D113" s="0" t="s">
        <v>3135</v>
      </c>
      <c r="E113" s="0" t="s">
        <v>3136</v>
      </c>
      <c r="F113" s="0" t="s">
        <v>2894</v>
      </c>
      <c r="G113" s="0" t="s">
        <v>3137</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97F59A-6215-4641-16D7-9A7E2E36FB8A}" mc:Ignorable="x14ac xr xr2 xr3">
  <sheetPr>
    <tabColor rgb="FFFFCC99"/>
  </sheetPr>
  <dimension ref="A1:D20"/>
  <sheetViews>
    <sheetView topLeftCell="A1" showGridLines="0" workbookViewId="0">
      <selection activeCell="A1" sqref="A1"/>
    </sheetView>
  </sheetViews>
  <sheetFormatPr defaultColWidth="9.140625" customHeight="1" defaultRowHeight="11.25"/>
  <cols>
    <col min="1" max="4" style="1715" width="9.140625"/>
  </cols>
  <sheetData>
    <row customHeight="1" ht="11.25">
      <c r="A1" s="829" t="s">
        <v>3138</v>
      </c>
      <c r="B1" s="829" t="s">
        <v>3139</v>
      </c>
      <c r="C1" s="829" t="s">
        <v>3140</v>
      </c>
      <c r="D1" s="829" t="s">
        <v>3141</v>
      </c>
    </row>
    <row customHeight="1" ht="11.25">
      <c r="A2" s="1715" t="s">
        <v>108</v>
      </c>
      <c r="B2" s="1715" t="s">
        <v>3142</v>
      </c>
      <c r="C2" s="1715" t="s">
        <v>3143</v>
      </c>
      <c r="D2" s="1715" t="s">
        <v>3144</v>
      </c>
    </row>
    <row customHeight="1" ht="11.25">
      <c r="A3" s="1715" t="s">
        <v>109</v>
      </c>
      <c r="B3" s="1715" t="s">
        <v>3145</v>
      </c>
      <c r="C3" s="1715" t="s">
        <v>3146</v>
      </c>
      <c r="D3" s="1715" t="s">
        <v>3147</v>
      </c>
    </row>
    <row customHeight="1" ht="11.25">
      <c r="A4" s="1715" t="s">
        <v>89</v>
      </c>
      <c r="B4" s="1715" t="s">
        <v>3148</v>
      </c>
      <c r="C4" s="1715" t="s">
        <v>3149</v>
      </c>
      <c r="D4" s="1715" t="s">
        <v>3150</v>
      </c>
    </row>
    <row customHeight="1" ht="11.25">
      <c r="A5" s="1715" t="s">
        <v>90</v>
      </c>
      <c r="B5" s="1715" t="s">
        <v>3151</v>
      </c>
      <c r="C5" s="1715" t="s">
        <v>3149</v>
      </c>
      <c r="D5" s="1715" t="s">
        <v>3150</v>
      </c>
    </row>
    <row customHeight="1" ht="11.25">
      <c r="A6" s="1715" t="s">
        <v>110</v>
      </c>
      <c r="B6" s="1715" t="s">
        <v>3152</v>
      </c>
      <c r="C6" s="1715" t="s">
        <v>3146</v>
      </c>
      <c r="D6" s="1715" t="s">
        <v>3153</v>
      </c>
    </row>
    <row customHeight="1" ht="11.25">
      <c r="A7" s="1715" t="s">
        <v>91</v>
      </c>
      <c r="B7" s="1715" t="s">
        <v>3154</v>
      </c>
      <c r="C7" s="1715" t="s">
        <v>3149</v>
      </c>
      <c r="D7" s="1715" t="s">
        <v>3150</v>
      </c>
    </row>
    <row customHeight="1" ht="11.25">
      <c r="A8" s="1715" t="s">
        <v>92</v>
      </c>
      <c r="B8" s="1715" t="s">
        <v>3155</v>
      </c>
      <c r="C8" s="1715" t="s">
        <v>3149</v>
      </c>
      <c r="D8" s="1715" t="s">
        <v>3150</v>
      </c>
    </row>
    <row customHeight="1" ht="11.25">
      <c r="A9" s="1715" t="s">
        <v>111</v>
      </c>
      <c r="B9" s="1715" t="s">
        <v>3156</v>
      </c>
      <c r="C9" s="1715" t="s">
        <v>3149</v>
      </c>
      <c r="D9" s="1715" t="s">
        <v>3150</v>
      </c>
    </row>
    <row customHeight="1" ht="11.25">
      <c r="A10" s="1715" t="s">
        <v>98</v>
      </c>
      <c r="B10" s="1715" t="s">
        <v>3157</v>
      </c>
      <c r="C10" s="1715" t="s">
        <v>3149</v>
      </c>
      <c r="D10" s="1715" t="s">
        <v>3150</v>
      </c>
    </row>
    <row customHeight="1" ht="11.25">
      <c r="A11" s="1715" t="s">
        <v>147</v>
      </c>
      <c r="B11" s="1715" t="s">
        <v>3158</v>
      </c>
      <c r="C11" s="1715" t="s">
        <v>3159</v>
      </c>
      <c r="D11" s="1715" t="s">
        <v>3153</v>
      </c>
    </row>
    <row customHeight="1" ht="11.25">
      <c r="A12" s="1715" t="s">
        <v>148</v>
      </c>
      <c r="B12" s="1715" t="s">
        <v>3160</v>
      </c>
      <c r="C12" s="1715" t="s">
        <v>3161</v>
      </c>
      <c r="D12" s="1715" t="s">
        <v>3147</v>
      </c>
    </row>
    <row customHeight="1" ht="11.25">
      <c r="A13" s="1715" t="s">
        <v>149</v>
      </c>
      <c r="B13" s="1715" t="s">
        <v>3162</v>
      </c>
      <c r="C13" s="1715" t="s">
        <v>3163</v>
      </c>
      <c r="D13" s="1715" t="s">
        <v>3164</v>
      </c>
    </row>
    <row customHeight="1" ht="11.25">
      <c r="A14" s="1715" t="s">
        <v>150</v>
      </c>
      <c r="B14" s="1715" t="s">
        <v>3165</v>
      </c>
      <c r="C14" s="1715" t="s">
        <v>3146</v>
      </c>
      <c r="D14" s="1715" t="s">
        <v>3166</v>
      </c>
    </row>
    <row customHeight="1" ht="11.25">
      <c r="A15" s="1715" t="s">
        <v>151</v>
      </c>
      <c r="B15" s="1715" t="s">
        <v>3167</v>
      </c>
      <c r="C15" s="1715" t="s">
        <v>3146</v>
      </c>
      <c r="D15" s="1715" t="s">
        <v>3168</v>
      </c>
    </row>
    <row customHeight="1" ht="11.25">
      <c r="A16" s="1715" t="s">
        <v>1464</v>
      </c>
      <c r="B16" s="1715" t="s">
        <v>3169</v>
      </c>
      <c r="C16" s="1715" t="s">
        <v>3146</v>
      </c>
      <c r="D16" s="1715" t="s">
        <v>3168</v>
      </c>
    </row>
    <row customHeight="1" ht="11.25">
      <c r="A17" s="1715" t="s">
        <v>1470</v>
      </c>
      <c r="B17" s="1715" t="s">
        <v>3170</v>
      </c>
      <c r="C17" s="1715" t="s">
        <v>3146</v>
      </c>
      <c r="D17" s="1715" t="s">
        <v>3168</v>
      </c>
    </row>
    <row customHeight="1" ht="11.25">
      <c r="A18" s="1715" t="s">
        <v>1481</v>
      </c>
      <c r="B18" s="1715" t="s">
        <v>3171</v>
      </c>
      <c r="C18" s="1715" t="s">
        <v>3146</v>
      </c>
      <c r="D18" s="1715" t="s">
        <v>3168</v>
      </c>
    </row>
    <row customHeight="1" ht="11.25">
      <c r="A19" s="1715" t="s">
        <v>1495</v>
      </c>
      <c r="B19" s="1715" t="s">
        <v>3172</v>
      </c>
      <c r="C19" s="1715" t="s">
        <v>3146</v>
      </c>
      <c r="D19" s="1715" t="s">
        <v>3168</v>
      </c>
    </row>
    <row customHeight="1" ht="11.25">
      <c r="A20" s="1715" t="s">
        <v>1507</v>
      </c>
      <c r="B20" s="1715" t="s">
        <v>3173</v>
      </c>
      <c r="C20" s="1715" t="s">
        <v>3146</v>
      </c>
      <c r="D20" s="1715" t="s">
        <v>3168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D86B94-8727-50FA-1EB7-99C3B3206114}"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83F9A8-CCE2-7C45-9554-242AEC249E5E}"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63" width="9.140625"/>
  </cols>
  <sheetData>
    <row customHeight="1" ht="11.25">
      <c r="A1" s="163" t="s">
        <v>129</v>
      </c>
      <c r="B1" s="163" t="s">
        <v>3174</v>
      </c>
    </row>
    <row customHeight="1" ht="11.25">
      <c r="A2" s="163" t="s">
        <v>97</v>
      </c>
      <c r="B2" s="163" t="s">
        <v>3175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709F34-131C-5B45-8D56-2C3B9689826F}"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15" width="9.140625"/>
    <col min="2" max="2" style="1715" width="65.28125" customWidth="1"/>
  </cols>
  <sheetData>
    <row customHeight="1" ht="11.25">
      <c r="A1" s="829" t="s">
        <v>3176</v>
      </c>
      <c r="B1" s="829" t="s">
        <v>3177</v>
      </c>
    </row>
    <row customHeight="1" ht="11.25">
      <c r="A2" s="829">
        <v>4213775</v>
      </c>
      <c r="B2" s="829" t="s">
        <v>1224</v>
      </c>
    </row>
    <row customHeight="1" ht="11.25">
      <c r="A3" s="829">
        <v>4213784</v>
      </c>
      <c r="B3" s="829" t="s">
        <v>1258</v>
      </c>
    </row>
    <row customHeight="1" ht="11.25">
      <c r="A4" s="829">
        <v>4213781</v>
      </c>
      <c r="B4" s="829" t="s">
        <v>1251</v>
      </c>
    </row>
    <row customHeight="1" ht="11.25">
      <c r="A5" s="829">
        <v>4213776</v>
      </c>
      <c r="B5" s="829" t="s">
        <v>181</v>
      </c>
    </row>
    <row customHeight="1" ht="11.25">
      <c r="A6" s="829">
        <v>4213777</v>
      </c>
      <c r="B6" s="829" t="s">
        <v>189</v>
      </c>
    </row>
    <row customHeight="1" ht="11.25">
      <c r="A7" s="829">
        <v>4213778</v>
      </c>
      <c r="B7" s="829" t="s">
        <v>197</v>
      </c>
    </row>
    <row customHeight="1" ht="11.25">
      <c r="A8" s="829">
        <v>4213780</v>
      </c>
      <c r="B8" s="829" t="s">
        <v>203</v>
      </c>
    </row>
    <row customHeight="1" ht="11.25">
      <c r="A9" s="829">
        <v>4213779</v>
      </c>
      <c r="B9" s="829" t="s">
        <v>1390</v>
      </c>
    </row>
    <row customHeight="1" ht="11.25">
      <c r="A10" s="829">
        <v>4213783</v>
      </c>
      <c r="B10" s="829" t="s">
        <v>1405</v>
      </c>
    </row>
    <row customHeight="1" ht="11.25">
      <c r="A11" s="829">
        <v>4213782</v>
      </c>
      <c r="B11" s="829" t="s">
        <v>209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0D6423-D99A-8544-7BF9-6922205261F9}"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15" width="9.140625"/>
    <col min="2" max="2" style="1715" width="65.28125" customWidth="1"/>
  </cols>
  <sheetData>
    <row customHeight="1" ht="11.25">
      <c r="A1" s="829" t="s">
        <v>3176</v>
      </c>
      <c r="B1" s="829" t="s">
        <v>3178</v>
      </c>
    </row>
    <row customHeight="1" ht="11.25">
      <c r="A2" s="829" t="s">
        <v>3179</v>
      </c>
      <c r="B2" s="829" t="s">
        <v>1501</v>
      </c>
    </row>
    <row customHeight="1" ht="11.25">
      <c r="A3" s="829" t="s">
        <v>3180</v>
      </c>
      <c r="B3" s="829" t="s">
        <v>1511</v>
      </c>
    </row>
    <row customHeight="1" ht="11.25">
      <c r="A4" s="829" t="s">
        <v>3181</v>
      </c>
      <c r="B4" s="829" t="s">
        <v>1520</v>
      </c>
    </row>
    <row customHeight="1" ht="11.25">
      <c r="A5" s="829" t="s">
        <v>3182</v>
      </c>
      <c r="B5" s="829" t="s">
        <v>1529</v>
      </c>
    </row>
    <row customHeight="1" ht="11.25">
      <c r="A6" s="829" t="s">
        <v>3183</v>
      </c>
      <c r="B6" s="829" t="s">
        <v>1535</v>
      </c>
    </row>
    <row customHeight="1" ht="11.25">
      <c r="A7" s="829" t="s">
        <v>3184</v>
      </c>
      <c r="B7" s="829" t="s">
        <v>1543</v>
      </c>
    </row>
    <row customHeight="1" ht="11.25">
      <c r="A8" s="829" t="s">
        <v>3185</v>
      </c>
      <c r="B8" s="829" t="s">
        <v>1550</v>
      </c>
    </row>
    <row customHeight="1" ht="11.25">
      <c r="A9" s="829" t="s">
        <v>3186</v>
      </c>
      <c r="B9" s="829" t="s">
        <v>1556</v>
      </c>
    </row>
    <row customHeight="1" ht="11.25">
      <c r="A10" s="829" t="s">
        <v>3187</v>
      </c>
      <c r="B10" s="829" t="s">
        <v>1560</v>
      </c>
    </row>
    <row customHeight="1" ht="11.25">
      <c r="A11" s="829" t="s">
        <v>3188</v>
      </c>
      <c r="B11" s="829" t="s">
        <v>1567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007675-3B2F-49E9-E9DF-0D157BB08215}" mc:Ignorable="x14ac xr xr2 xr3">
  <sheetPr>
    <tabColor rgb="FFFFCC99"/>
  </sheetPr>
  <dimension ref="A1:G113"/>
  <sheetViews>
    <sheetView topLeftCell="A1" showGridLines="0" workbookViewId="0">
      <selection activeCell="A1" sqref="A1"/>
    </sheetView>
  </sheetViews>
  <sheetFormatPr customHeight="1" defaultRowHeight="11.25"/>
  <sheetData>
    <row customHeight="1" ht="11.25">
      <c r="A1" s="0" t="s">
        <v>2855</v>
      </c>
      <c r="B1" s="0" t="s">
        <v>2856</v>
      </c>
      <c r="C1" s="0" t="s">
        <v>2857</v>
      </c>
      <c r="D1" s="0" t="s">
        <v>2858</v>
      </c>
      <c r="E1" s="0" t="s">
        <v>2859</v>
      </c>
      <c r="F1" s="0" t="s">
        <v>2860</v>
      </c>
      <c r="G1" s="0" t="s">
        <v>2861</v>
      </c>
    </row>
    <row customHeight="1" ht="11.25">
      <c r="A2" s="0" t="s">
        <v>14</v>
      </c>
      <c r="B2" s="0" t="s">
        <v>99</v>
      </c>
      <c r="C2" s="0" t="s">
        <v>100</v>
      </c>
      <c r="D2" s="0" t="s">
        <v>2862</v>
      </c>
      <c r="E2" s="0" t="s">
        <v>2863</v>
      </c>
      <c r="F2" s="0" t="s">
        <v>2864</v>
      </c>
      <c r="G2" s="0" t="s">
        <v>108</v>
      </c>
    </row>
    <row customHeight="1" ht="11.25">
      <c r="A3" s="0" t="s">
        <v>14</v>
      </c>
      <c r="B3" s="0" t="s">
        <v>99</v>
      </c>
      <c r="C3" s="0" t="s">
        <v>100</v>
      </c>
      <c r="D3" s="0" t="s">
        <v>2865</v>
      </c>
      <c r="E3" s="0" t="s">
        <v>2866</v>
      </c>
      <c r="F3" s="0" t="s">
        <v>2864</v>
      </c>
      <c r="G3" s="0" t="s">
        <v>109</v>
      </c>
    </row>
    <row customHeight="1" ht="11.25">
      <c r="A4" s="0" t="s">
        <v>14</v>
      </c>
      <c r="B4" s="0" t="s">
        <v>99</v>
      </c>
      <c r="C4" s="0" t="s">
        <v>100</v>
      </c>
      <c r="D4" s="0" t="s">
        <v>2867</v>
      </c>
      <c r="E4" s="0" t="s">
        <v>2868</v>
      </c>
      <c r="F4" s="0" t="s">
        <v>2864</v>
      </c>
      <c r="G4" s="0" t="s">
        <v>89</v>
      </c>
    </row>
    <row customHeight="1" ht="11.25">
      <c r="A5" s="0" t="s">
        <v>14</v>
      </c>
      <c r="B5" s="0" t="s">
        <v>99</v>
      </c>
      <c r="C5" s="0" t="s">
        <v>100</v>
      </c>
      <c r="D5" s="0" t="s">
        <v>2869</v>
      </c>
      <c r="E5" s="0" t="s">
        <v>2870</v>
      </c>
      <c r="F5" s="0" t="s">
        <v>2864</v>
      </c>
      <c r="G5" s="0" t="s">
        <v>90</v>
      </c>
    </row>
    <row customHeight="1" ht="11.25">
      <c r="A6" s="0" t="s">
        <v>14</v>
      </c>
      <c r="B6" s="0" t="s">
        <v>99</v>
      </c>
      <c r="C6" s="0" t="s">
        <v>100</v>
      </c>
      <c r="D6" s="0" t="s">
        <v>2871</v>
      </c>
      <c r="E6" s="0" t="s">
        <v>2872</v>
      </c>
      <c r="F6" s="0" t="s">
        <v>2864</v>
      </c>
      <c r="G6" s="0" t="s">
        <v>110</v>
      </c>
    </row>
    <row customHeight="1" ht="11.25">
      <c r="A7" s="0" t="s">
        <v>14</v>
      </c>
      <c r="B7" s="0" t="s">
        <v>99</v>
      </c>
      <c r="C7" s="0" t="s">
        <v>100</v>
      </c>
      <c r="D7" s="0" t="s">
        <v>2873</v>
      </c>
      <c r="E7" s="0" t="s">
        <v>2874</v>
      </c>
      <c r="F7" s="0" t="s">
        <v>2864</v>
      </c>
      <c r="G7" s="0" t="s">
        <v>91</v>
      </c>
    </row>
    <row customHeight="1" ht="11.25">
      <c r="A8" s="0" t="s">
        <v>14</v>
      </c>
      <c r="B8" s="0" t="s">
        <v>99</v>
      </c>
      <c r="C8" s="0" t="s">
        <v>100</v>
      </c>
      <c r="D8" s="0" t="s">
        <v>2875</v>
      </c>
      <c r="E8" s="0" t="s">
        <v>2876</v>
      </c>
      <c r="F8" s="0" t="s">
        <v>2864</v>
      </c>
      <c r="G8" s="0" t="s">
        <v>92</v>
      </c>
    </row>
    <row customHeight="1" ht="11.25">
      <c r="A9" s="0" t="s">
        <v>14</v>
      </c>
      <c r="B9" s="0" t="s">
        <v>99</v>
      </c>
      <c r="C9" s="0" t="s">
        <v>100</v>
      </c>
      <c r="D9" s="0" t="s">
        <v>2877</v>
      </c>
      <c r="E9" s="0" t="s">
        <v>2878</v>
      </c>
      <c r="F9" s="0" t="s">
        <v>2864</v>
      </c>
      <c r="G9" s="0" t="s">
        <v>111</v>
      </c>
    </row>
    <row customHeight="1" ht="11.25">
      <c r="A10" s="0" t="s">
        <v>14</v>
      </c>
      <c r="B10" s="0" t="s">
        <v>99</v>
      </c>
      <c r="C10" s="0" t="s">
        <v>100</v>
      </c>
      <c r="D10" s="0" t="s">
        <v>99</v>
      </c>
      <c r="E10" s="0" t="s">
        <v>100</v>
      </c>
      <c r="F10" s="0" t="s">
        <v>2879</v>
      </c>
      <c r="G10" s="0" t="s">
        <v>98</v>
      </c>
    </row>
    <row customHeight="1" ht="11.25">
      <c r="A11" s="0" t="s">
        <v>14</v>
      </c>
      <c r="B11" s="0" t="s">
        <v>99</v>
      </c>
      <c r="C11" s="0" t="s">
        <v>100</v>
      </c>
      <c r="D11" s="0" t="s">
        <v>2880</v>
      </c>
      <c r="E11" s="0" t="s">
        <v>2881</v>
      </c>
      <c r="F11" s="0" t="s">
        <v>2864</v>
      </c>
      <c r="G11" s="0" t="s">
        <v>147</v>
      </c>
    </row>
    <row customHeight="1" ht="11.25">
      <c r="A12" s="0" t="s">
        <v>14</v>
      </c>
      <c r="B12" s="0" t="s">
        <v>99</v>
      </c>
      <c r="C12" s="0" t="s">
        <v>100</v>
      </c>
      <c r="D12" s="0" t="s">
        <v>2882</v>
      </c>
      <c r="E12" s="0" t="s">
        <v>2883</v>
      </c>
      <c r="F12" s="0" t="s">
        <v>2864</v>
      </c>
      <c r="G12" s="0" t="s">
        <v>148</v>
      </c>
    </row>
    <row customHeight="1" ht="11.25">
      <c r="A13" s="0" t="s">
        <v>14</v>
      </c>
      <c r="B13" s="0" t="s">
        <v>99</v>
      </c>
      <c r="C13" s="0" t="s">
        <v>100</v>
      </c>
      <c r="D13" s="0" t="s">
        <v>2884</v>
      </c>
      <c r="E13" s="0" t="s">
        <v>2885</v>
      </c>
      <c r="F13" s="0" t="s">
        <v>2864</v>
      </c>
      <c r="G13" s="0" t="s">
        <v>149</v>
      </c>
    </row>
    <row customHeight="1" ht="11.25">
      <c r="A14" s="0" t="s">
        <v>14</v>
      </c>
      <c r="B14" s="0" t="s">
        <v>99</v>
      </c>
      <c r="C14" s="0" t="s">
        <v>100</v>
      </c>
      <c r="D14" s="0" t="s">
        <v>2886</v>
      </c>
      <c r="E14" s="0" t="s">
        <v>2887</v>
      </c>
      <c r="F14" s="0" t="s">
        <v>2864</v>
      </c>
      <c r="G14" s="0" t="s">
        <v>150</v>
      </c>
    </row>
    <row customHeight="1" ht="11.25">
      <c r="A15" s="0" t="s">
        <v>14</v>
      </c>
      <c r="B15" s="0" t="s">
        <v>99</v>
      </c>
      <c r="C15" s="0" t="s">
        <v>100</v>
      </c>
      <c r="D15" s="0" t="s">
        <v>2888</v>
      </c>
      <c r="E15" s="0" t="s">
        <v>2889</v>
      </c>
      <c r="F15" s="0" t="s">
        <v>2864</v>
      </c>
      <c r="G15" s="0" t="s">
        <v>151</v>
      </c>
    </row>
    <row customHeight="1" ht="11.25">
      <c r="A16" s="0" t="s">
        <v>14</v>
      </c>
      <c r="B16" s="0" t="s">
        <v>99</v>
      </c>
      <c r="C16" s="0" t="s">
        <v>100</v>
      </c>
      <c r="D16" s="0" t="s">
        <v>2890</v>
      </c>
      <c r="E16" s="0" t="s">
        <v>2891</v>
      </c>
      <c r="F16" s="0" t="s">
        <v>2864</v>
      </c>
      <c r="G16" s="0" t="s">
        <v>1464</v>
      </c>
    </row>
    <row customHeight="1" ht="11.25">
      <c r="A17" s="0" t="s">
        <v>14</v>
      </c>
      <c r="B17" s="0" t="s">
        <v>99</v>
      </c>
      <c r="C17" s="0" t="s">
        <v>100</v>
      </c>
      <c r="D17" s="0" t="s">
        <v>2892</v>
      </c>
      <c r="E17" s="0" t="s">
        <v>2893</v>
      </c>
      <c r="F17" s="0" t="s">
        <v>2894</v>
      </c>
      <c r="G17" s="0" t="s">
        <v>1470</v>
      </c>
    </row>
    <row customHeight="1" ht="11.25">
      <c r="A18" s="0" t="s">
        <v>14</v>
      </c>
      <c r="B18" s="0" t="s">
        <v>99</v>
      </c>
      <c r="C18" s="0" t="s">
        <v>100</v>
      </c>
      <c r="D18" s="0" t="s">
        <v>2895</v>
      </c>
      <c r="E18" s="0" t="s">
        <v>2896</v>
      </c>
      <c r="F18" s="0" t="s">
        <v>2894</v>
      </c>
      <c r="G18" s="0" t="s">
        <v>1481</v>
      </c>
    </row>
    <row customHeight="1" ht="11.25">
      <c r="A19" s="0" t="s">
        <v>14</v>
      </c>
      <c r="B19" s="0" t="s">
        <v>99</v>
      </c>
      <c r="C19" s="0" t="s">
        <v>100</v>
      </c>
      <c r="D19" s="0" t="s">
        <v>2897</v>
      </c>
      <c r="E19" s="0" t="s">
        <v>2898</v>
      </c>
      <c r="F19" s="0" t="s">
        <v>2864</v>
      </c>
      <c r="G19" s="0" t="s">
        <v>1495</v>
      </c>
    </row>
    <row customHeight="1" ht="11.25">
      <c r="A20" s="0" t="s">
        <v>14</v>
      </c>
      <c r="B20" s="0" t="s">
        <v>99</v>
      </c>
      <c r="C20" s="0" t="s">
        <v>100</v>
      </c>
      <c r="D20" s="0" t="s">
        <v>2899</v>
      </c>
      <c r="E20" s="0" t="s">
        <v>2900</v>
      </c>
      <c r="F20" s="0" t="s">
        <v>2864</v>
      </c>
      <c r="G20" s="0" t="s">
        <v>1507</v>
      </c>
    </row>
    <row customHeight="1" ht="11.25">
      <c r="A21" s="0" t="s">
        <v>14</v>
      </c>
      <c r="B21" s="0" t="s">
        <v>99</v>
      </c>
      <c r="C21" s="0" t="s">
        <v>100</v>
      </c>
      <c r="D21" s="0" t="s">
        <v>2901</v>
      </c>
      <c r="E21" s="0" t="s">
        <v>2902</v>
      </c>
      <c r="F21" s="0" t="s">
        <v>2864</v>
      </c>
      <c r="G21" s="0" t="s">
        <v>1516</v>
      </c>
    </row>
    <row customHeight="1" ht="11.25">
      <c r="A22" s="0" t="s">
        <v>14</v>
      </c>
      <c r="B22" s="0" t="s">
        <v>99</v>
      </c>
      <c r="C22" s="0" t="s">
        <v>100</v>
      </c>
      <c r="D22" s="0" t="s">
        <v>2903</v>
      </c>
      <c r="E22" s="0" t="s">
        <v>2904</v>
      </c>
      <c r="F22" s="0" t="s">
        <v>2894</v>
      </c>
      <c r="G22" s="0" t="s">
        <v>1532</v>
      </c>
    </row>
    <row customHeight="1" ht="11.25">
      <c r="A23" s="0" t="s">
        <v>14</v>
      </c>
      <c r="B23" s="0" t="s">
        <v>99</v>
      </c>
      <c r="C23" s="0" t="s">
        <v>100</v>
      </c>
      <c r="D23" s="0" t="s">
        <v>2905</v>
      </c>
      <c r="E23" s="0" t="s">
        <v>2906</v>
      </c>
      <c r="F23" s="0" t="s">
        <v>2864</v>
      </c>
      <c r="G23" s="0" t="s">
        <v>1539</v>
      </c>
    </row>
    <row customHeight="1" ht="11.25">
      <c r="A24" s="0" t="s">
        <v>14</v>
      </c>
      <c r="B24" s="0" t="s">
        <v>99</v>
      </c>
      <c r="C24" s="0" t="s">
        <v>100</v>
      </c>
      <c r="D24" s="0" t="s">
        <v>2907</v>
      </c>
      <c r="E24" s="0" t="s">
        <v>2908</v>
      </c>
      <c r="F24" s="0" t="s">
        <v>2894</v>
      </c>
      <c r="G24" s="0" t="s">
        <v>1547</v>
      </c>
    </row>
    <row customHeight="1" ht="11.25">
      <c r="A25" s="0" t="s">
        <v>14</v>
      </c>
      <c r="B25" s="0" t="s">
        <v>99</v>
      </c>
      <c r="C25" s="0" t="s">
        <v>100</v>
      </c>
      <c r="D25" s="0" t="s">
        <v>2909</v>
      </c>
      <c r="E25" s="0" t="s">
        <v>2910</v>
      </c>
      <c r="F25" s="0" t="s">
        <v>2864</v>
      </c>
      <c r="G25" s="0" t="s">
        <v>1554</v>
      </c>
    </row>
    <row customHeight="1" ht="11.25">
      <c r="A26" s="0" t="s">
        <v>14</v>
      </c>
      <c r="B26" s="0" t="s">
        <v>99</v>
      </c>
      <c r="C26" s="0" t="s">
        <v>100</v>
      </c>
      <c r="D26" s="0" t="s">
        <v>2911</v>
      </c>
      <c r="E26" s="0" t="s">
        <v>2912</v>
      </c>
      <c r="F26" s="0" t="s">
        <v>2864</v>
      </c>
      <c r="G26" s="0" t="s">
        <v>1558</v>
      </c>
    </row>
    <row customHeight="1" ht="11.25">
      <c r="A27" s="0" t="s">
        <v>14</v>
      </c>
      <c r="B27" s="0" t="s">
        <v>99</v>
      </c>
      <c r="C27" s="0" t="s">
        <v>100</v>
      </c>
      <c r="D27" s="0" t="s">
        <v>2913</v>
      </c>
      <c r="E27" s="0" t="s">
        <v>2914</v>
      </c>
      <c r="F27" s="0" t="s">
        <v>2864</v>
      </c>
      <c r="G27" s="0" t="s">
        <v>1563</v>
      </c>
    </row>
    <row customHeight="1" ht="11.25">
      <c r="A28" s="0" t="s">
        <v>14</v>
      </c>
      <c r="B28" s="0" t="s">
        <v>99</v>
      </c>
      <c r="C28" s="0" t="s">
        <v>100</v>
      </c>
      <c r="D28" s="0" t="s">
        <v>2915</v>
      </c>
      <c r="E28" s="0" t="s">
        <v>2916</v>
      </c>
      <c r="F28" s="0" t="s">
        <v>2894</v>
      </c>
      <c r="G28" s="0" t="s">
        <v>1571</v>
      </c>
    </row>
    <row customHeight="1" ht="11.25">
      <c r="A29" s="0" t="s">
        <v>14</v>
      </c>
      <c r="B29" s="0" t="s">
        <v>99</v>
      </c>
      <c r="C29" s="0" t="s">
        <v>100</v>
      </c>
      <c r="D29" s="0" t="s">
        <v>2917</v>
      </c>
      <c r="E29" s="0" t="s">
        <v>2918</v>
      </c>
      <c r="F29" s="0" t="s">
        <v>2894</v>
      </c>
      <c r="G29" s="0" t="s">
        <v>1573</v>
      </c>
    </row>
    <row customHeight="1" ht="11.25">
      <c r="A30" s="0" t="s">
        <v>14</v>
      </c>
      <c r="B30" s="0" t="s">
        <v>99</v>
      </c>
      <c r="C30" s="0" t="s">
        <v>100</v>
      </c>
      <c r="D30" s="0" t="s">
        <v>2919</v>
      </c>
      <c r="E30" s="0" t="s">
        <v>2920</v>
      </c>
      <c r="F30" s="0" t="s">
        <v>2864</v>
      </c>
      <c r="G30" s="0" t="s">
        <v>1576</v>
      </c>
    </row>
    <row customHeight="1" ht="11.25">
      <c r="A31" s="0" t="s">
        <v>14</v>
      </c>
      <c r="B31" s="0" t="s">
        <v>99</v>
      </c>
      <c r="C31" s="0" t="s">
        <v>100</v>
      </c>
      <c r="D31" s="0" t="s">
        <v>2921</v>
      </c>
      <c r="E31" s="0" t="s">
        <v>2922</v>
      </c>
      <c r="F31" s="0" t="s">
        <v>2864</v>
      </c>
      <c r="G31" s="0" t="s">
        <v>1581</v>
      </c>
    </row>
    <row customHeight="1" ht="11.25">
      <c r="A32" s="0" t="s">
        <v>14</v>
      </c>
      <c r="B32" s="0" t="s">
        <v>99</v>
      </c>
      <c r="C32" s="0" t="s">
        <v>100</v>
      </c>
      <c r="D32" s="0" t="s">
        <v>2923</v>
      </c>
      <c r="E32" s="0" t="s">
        <v>2924</v>
      </c>
      <c r="F32" s="0" t="s">
        <v>2894</v>
      </c>
      <c r="G32" s="0" t="s">
        <v>1583</v>
      </c>
    </row>
    <row customHeight="1" ht="11.25">
      <c r="A33" s="0" t="s">
        <v>14</v>
      </c>
      <c r="B33" s="0" t="s">
        <v>99</v>
      </c>
      <c r="C33" s="0" t="s">
        <v>100</v>
      </c>
      <c r="D33" s="0" t="s">
        <v>2925</v>
      </c>
      <c r="E33" s="0" t="s">
        <v>2926</v>
      </c>
      <c r="F33" s="0" t="s">
        <v>2864</v>
      </c>
      <c r="G33" s="0" t="s">
        <v>1585</v>
      </c>
    </row>
    <row customHeight="1" ht="11.25">
      <c r="A34" s="0" t="s">
        <v>14</v>
      </c>
      <c r="B34" s="0" t="s">
        <v>99</v>
      </c>
      <c r="C34" s="0" t="s">
        <v>100</v>
      </c>
      <c r="D34" s="0" t="s">
        <v>2927</v>
      </c>
      <c r="E34" s="0" t="s">
        <v>2928</v>
      </c>
      <c r="F34" s="0" t="s">
        <v>2864</v>
      </c>
      <c r="G34" s="0" t="s">
        <v>1587</v>
      </c>
    </row>
    <row customHeight="1" ht="11.25">
      <c r="A35" s="0" t="s">
        <v>14</v>
      </c>
      <c r="B35" s="0" t="s">
        <v>99</v>
      </c>
      <c r="C35" s="0" t="s">
        <v>100</v>
      </c>
      <c r="D35" s="0" t="s">
        <v>2929</v>
      </c>
      <c r="E35" s="0" t="s">
        <v>2930</v>
      </c>
      <c r="F35" s="0" t="s">
        <v>2864</v>
      </c>
      <c r="G35" s="0" t="s">
        <v>1592</v>
      </c>
    </row>
    <row customHeight="1" ht="11.25">
      <c r="A36" s="0" t="s">
        <v>14</v>
      </c>
      <c r="B36" s="0" t="s">
        <v>99</v>
      </c>
      <c r="C36" s="0" t="s">
        <v>100</v>
      </c>
      <c r="D36" s="0" t="s">
        <v>2931</v>
      </c>
      <c r="E36" s="0" t="s">
        <v>2932</v>
      </c>
      <c r="F36" s="0" t="s">
        <v>2894</v>
      </c>
      <c r="G36" s="0" t="s">
        <v>1597</v>
      </c>
    </row>
    <row customHeight="1" ht="11.25">
      <c r="A37" s="0" t="s">
        <v>14</v>
      </c>
      <c r="B37" s="0" t="s">
        <v>99</v>
      </c>
      <c r="C37" s="0" t="s">
        <v>100</v>
      </c>
      <c r="D37" s="0" t="s">
        <v>2933</v>
      </c>
      <c r="E37" s="0" t="s">
        <v>2934</v>
      </c>
      <c r="F37" s="0" t="s">
        <v>2864</v>
      </c>
      <c r="G37" s="0" t="s">
        <v>1601</v>
      </c>
    </row>
    <row customHeight="1" ht="11.25">
      <c r="A38" s="0" t="s">
        <v>14</v>
      </c>
      <c r="B38" s="0" t="s">
        <v>99</v>
      </c>
      <c r="C38" s="0" t="s">
        <v>100</v>
      </c>
      <c r="D38" s="0" t="s">
        <v>2935</v>
      </c>
      <c r="E38" s="0" t="s">
        <v>2936</v>
      </c>
      <c r="F38" s="0" t="s">
        <v>2864</v>
      </c>
      <c r="G38" s="0" t="s">
        <v>1609</v>
      </c>
    </row>
    <row customHeight="1" ht="11.25">
      <c r="A39" s="0" t="s">
        <v>14</v>
      </c>
      <c r="B39" s="0" t="s">
        <v>99</v>
      </c>
      <c r="C39" s="0" t="s">
        <v>100</v>
      </c>
      <c r="D39" s="0" t="s">
        <v>2937</v>
      </c>
      <c r="E39" s="0" t="s">
        <v>2938</v>
      </c>
      <c r="F39" s="0" t="s">
        <v>2864</v>
      </c>
      <c r="G39" s="0" t="s">
        <v>1615</v>
      </c>
    </row>
    <row customHeight="1" ht="11.25">
      <c r="A40" s="0" t="s">
        <v>14</v>
      </c>
      <c r="B40" s="0" t="s">
        <v>99</v>
      </c>
      <c r="C40" s="0" t="s">
        <v>100</v>
      </c>
      <c r="D40" s="0" t="s">
        <v>2939</v>
      </c>
      <c r="E40" s="0" t="s">
        <v>2940</v>
      </c>
      <c r="F40" s="0" t="s">
        <v>2864</v>
      </c>
      <c r="G40" s="0" t="s">
        <v>1620</v>
      </c>
    </row>
    <row customHeight="1" ht="11.25">
      <c r="A41" s="0" t="s">
        <v>14</v>
      </c>
      <c r="B41" s="0" t="s">
        <v>99</v>
      </c>
      <c r="C41" s="0" t="s">
        <v>100</v>
      </c>
      <c r="D41" s="0" t="s">
        <v>2941</v>
      </c>
      <c r="E41" s="0" t="s">
        <v>2942</v>
      </c>
      <c r="F41" s="0" t="s">
        <v>2864</v>
      </c>
      <c r="G41" s="0" t="s">
        <v>1624</v>
      </c>
    </row>
    <row customHeight="1" ht="11.25">
      <c r="A42" s="0" t="s">
        <v>14</v>
      </c>
      <c r="B42" s="0" t="s">
        <v>99</v>
      </c>
      <c r="C42" s="0" t="s">
        <v>100</v>
      </c>
      <c r="D42" s="0" t="s">
        <v>2943</v>
      </c>
      <c r="E42" s="0" t="s">
        <v>2944</v>
      </c>
      <c r="F42" s="0" t="s">
        <v>2864</v>
      </c>
      <c r="G42" s="0" t="s">
        <v>1627</v>
      </c>
    </row>
    <row customHeight="1" ht="11.25">
      <c r="A43" s="0" t="s">
        <v>14</v>
      </c>
      <c r="B43" s="0" t="s">
        <v>99</v>
      </c>
      <c r="C43" s="0" t="s">
        <v>100</v>
      </c>
      <c r="D43" s="0" t="s">
        <v>2945</v>
      </c>
      <c r="E43" s="0" t="s">
        <v>2946</v>
      </c>
      <c r="F43" s="0" t="s">
        <v>2864</v>
      </c>
      <c r="G43" s="0" t="s">
        <v>1634</v>
      </c>
    </row>
    <row customHeight="1" ht="11.25">
      <c r="A44" s="0" t="s">
        <v>14</v>
      </c>
      <c r="B44" s="0" t="s">
        <v>99</v>
      </c>
      <c r="C44" s="0" t="s">
        <v>100</v>
      </c>
      <c r="D44" s="0" t="s">
        <v>2947</v>
      </c>
      <c r="E44" s="0" t="s">
        <v>2948</v>
      </c>
      <c r="F44" s="0" t="s">
        <v>2864</v>
      </c>
      <c r="G44" s="0" t="s">
        <v>1643</v>
      </c>
    </row>
    <row customHeight="1" ht="11.25">
      <c r="A45" s="0" t="s">
        <v>14</v>
      </c>
      <c r="B45" s="0" t="s">
        <v>99</v>
      </c>
      <c r="C45" s="0" t="s">
        <v>100</v>
      </c>
      <c r="D45" s="0" t="s">
        <v>2949</v>
      </c>
      <c r="E45" s="0" t="s">
        <v>2950</v>
      </c>
      <c r="F45" s="0" t="s">
        <v>2864</v>
      </c>
      <c r="G45" s="0" t="s">
        <v>1648</v>
      </c>
    </row>
    <row customHeight="1" ht="11.25">
      <c r="A46" s="0" t="s">
        <v>14</v>
      </c>
      <c r="B46" s="0" t="s">
        <v>99</v>
      </c>
      <c r="C46" s="0" t="s">
        <v>100</v>
      </c>
      <c r="D46" s="0" t="s">
        <v>2951</v>
      </c>
      <c r="E46" s="0" t="s">
        <v>2952</v>
      </c>
      <c r="F46" s="0" t="s">
        <v>2864</v>
      </c>
      <c r="G46" s="0" t="s">
        <v>1652</v>
      </c>
    </row>
    <row customHeight="1" ht="11.25">
      <c r="A47" s="0" t="s">
        <v>14</v>
      </c>
      <c r="B47" s="0" t="s">
        <v>99</v>
      </c>
      <c r="C47" s="0" t="s">
        <v>100</v>
      </c>
      <c r="D47" s="0" t="s">
        <v>2953</v>
      </c>
      <c r="E47" s="0" t="s">
        <v>2954</v>
      </c>
      <c r="F47" s="0" t="s">
        <v>2864</v>
      </c>
      <c r="G47" s="0" t="s">
        <v>1658</v>
      </c>
    </row>
    <row customHeight="1" ht="11.25">
      <c r="A48" s="0" t="s">
        <v>14</v>
      </c>
      <c r="B48" s="0" t="s">
        <v>99</v>
      </c>
      <c r="C48" s="0" t="s">
        <v>100</v>
      </c>
      <c r="D48" s="0" t="s">
        <v>2955</v>
      </c>
      <c r="E48" s="0" t="s">
        <v>2956</v>
      </c>
      <c r="F48" s="0" t="s">
        <v>2894</v>
      </c>
      <c r="G48" s="0" t="s">
        <v>1663</v>
      </c>
    </row>
    <row customHeight="1" ht="11.25">
      <c r="A49" s="0" t="s">
        <v>14</v>
      </c>
      <c r="B49" s="0" t="s">
        <v>99</v>
      </c>
      <c r="C49" s="0" t="s">
        <v>100</v>
      </c>
      <c r="D49" s="0" t="s">
        <v>2957</v>
      </c>
      <c r="E49" s="0" t="s">
        <v>2958</v>
      </c>
      <c r="F49" s="0" t="s">
        <v>2864</v>
      </c>
      <c r="G49" s="0" t="s">
        <v>1666</v>
      </c>
    </row>
    <row customHeight="1" ht="11.25">
      <c r="A50" s="0" t="s">
        <v>14</v>
      </c>
      <c r="B50" s="0" t="s">
        <v>99</v>
      </c>
      <c r="C50" s="0" t="s">
        <v>100</v>
      </c>
      <c r="D50" s="0" t="s">
        <v>2959</v>
      </c>
      <c r="E50" s="0" t="s">
        <v>2960</v>
      </c>
      <c r="F50" s="0" t="s">
        <v>2864</v>
      </c>
      <c r="G50" s="0" t="s">
        <v>1670</v>
      </c>
    </row>
    <row customHeight="1" ht="11.25">
      <c r="A51" s="0" t="s">
        <v>14</v>
      </c>
      <c r="B51" s="0" t="s">
        <v>99</v>
      </c>
      <c r="C51" s="0" t="s">
        <v>100</v>
      </c>
      <c r="D51" s="0" t="s">
        <v>2961</v>
      </c>
      <c r="E51" s="0" t="s">
        <v>2962</v>
      </c>
      <c r="F51" s="0" t="s">
        <v>2894</v>
      </c>
      <c r="G51" s="0" t="s">
        <v>1674</v>
      </c>
    </row>
    <row customHeight="1" ht="11.25">
      <c r="A52" s="0" t="s">
        <v>14</v>
      </c>
      <c r="B52" s="0" t="s">
        <v>99</v>
      </c>
      <c r="C52" s="0" t="s">
        <v>100</v>
      </c>
      <c r="D52" s="0" t="s">
        <v>2963</v>
      </c>
      <c r="E52" s="0" t="s">
        <v>2964</v>
      </c>
      <c r="F52" s="0" t="s">
        <v>2894</v>
      </c>
      <c r="G52" s="0" t="s">
        <v>1678</v>
      </c>
    </row>
    <row customHeight="1" ht="11.25">
      <c r="A53" s="0" t="s">
        <v>14</v>
      </c>
      <c r="B53" s="0" t="s">
        <v>99</v>
      </c>
      <c r="C53" s="0" t="s">
        <v>100</v>
      </c>
      <c r="D53" s="0" t="s">
        <v>2965</v>
      </c>
      <c r="E53" s="0" t="s">
        <v>2966</v>
      </c>
      <c r="F53" s="0" t="s">
        <v>2864</v>
      </c>
      <c r="G53" s="0" t="s">
        <v>1680</v>
      </c>
    </row>
    <row customHeight="1" ht="11.25">
      <c r="A54" s="0" t="s">
        <v>14</v>
      </c>
      <c r="B54" s="0" t="s">
        <v>99</v>
      </c>
      <c r="C54" s="0" t="s">
        <v>100</v>
      </c>
      <c r="D54" s="0" t="s">
        <v>2967</v>
      </c>
      <c r="E54" s="0" t="s">
        <v>2968</v>
      </c>
      <c r="F54" s="0" t="s">
        <v>2864</v>
      </c>
      <c r="G54" s="0" t="s">
        <v>1683</v>
      </c>
    </row>
    <row customHeight="1" ht="11.25">
      <c r="A55" s="0" t="s">
        <v>14</v>
      </c>
      <c r="B55" s="0" t="s">
        <v>99</v>
      </c>
      <c r="C55" s="0" t="s">
        <v>100</v>
      </c>
      <c r="D55" s="0" t="s">
        <v>2969</v>
      </c>
      <c r="E55" s="0" t="s">
        <v>2970</v>
      </c>
      <c r="F55" s="0" t="s">
        <v>2864</v>
      </c>
      <c r="G55" s="0" t="s">
        <v>1687</v>
      </c>
    </row>
    <row customHeight="1" ht="11.25">
      <c r="A56" s="0" t="s">
        <v>14</v>
      </c>
      <c r="B56" s="0" t="s">
        <v>99</v>
      </c>
      <c r="C56" s="0" t="s">
        <v>100</v>
      </c>
      <c r="D56" s="0" t="s">
        <v>2971</v>
      </c>
      <c r="E56" s="0" t="s">
        <v>2972</v>
      </c>
      <c r="F56" s="0" t="s">
        <v>2864</v>
      </c>
      <c r="G56" s="0" t="s">
        <v>1690</v>
      </c>
    </row>
    <row customHeight="1" ht="11.25">
      <c r="A57" s="0" t="s">
        <v>14</v>
      </c>
      <c r="B57" s="0" t="s">
        <v>99</v>
      </c>
      <c r="C57" s="0" t="s">
        <v>100</v>
      </c>
      <c r="D57" s="0" t="s">
        <v>2973</v>
      </c>
      <c r="E57" s="0" t="s">
        <v>2974</v>
      </c>
      <c r="F57" s="0" t="s">
        <v>2864</v>
      </c>
      <c r="G57" s="0" t="s">
        <v>1693</v>
      </c>
    </row>
    <row customHeight="1" ht="11.25">
      <c r="A58" s="0" t="s">
        <v>14</v>
      </c>
      <c r="B58" s="0" t="s">
        <v>99</v>
      </c>
      <c r="C58" s="0" t="s">
        <v>100</v>
      </c>
      <c r="D58" s="0" t="s">
        <v>2975</v>
      </c>
      <c r="E58" s="0" t="s">
        <v>2976</v>
      </c>
      <c r="F58" s="0" t="s">
        <v>2864</v>
      </c>
      <c r="G58" s="0" t="s">
        <v>1696</v>
      </c>
    </row>
    <row customHeight="1" ht="11.25">
      <c r="A59" s="0" t="s">
        <v>14</v>
      </c>
      <c r="B59" s="0" t="s">
        <v>99</v>
      </c>
      <c r="C59" s="0" t="s">
        <v>100</v>
      </c>
      <c r="D59" s="0" t="s">
        <v>2977</v>
      </c>
      <c r="E59" s="0" t="s">
        <v>2978</v>
      </c>
      <c r="F59" s="0" t="s">
        <v>2864</v>
      </c>
      <c r="G59" s="0" t="s">
        <v>1700</v>
      </c>
    </row>
    <row customHeight="1" ht="11.25">
      <c r="A60" s="0" t="s">
        <v>14</v>
      </c>
      <c r="B60" s="0" t="s">
        <v>99</v>
      </c>
      <c r="C60" s="0" t="s">
        <v>100</v>
      </c>
      <c r="D60" s="0" t="s">
        <v>2979</v>
      </c>
      <c r="E60" s="0" t="s">
        <v>2980</v>
      </c>
      <c r="F60" s="0" t="s">
        <v>2864</v>
      </c>
      <c r="G60" s="0" t="s">
        <v>1703</v>
      </c>
    </row>
    <row customHeight="1" ht="11.25">
      <c r="A61" s="0" t="s">
        <v>14</v>
      </c>
      <c r="B61" s="0" t="s">
        <v>99</v>
      </c>
      <c r="C61" s="0" t="s">
        <v>100</v>
      </c>
      <c r="D61" s="0" t="s">
        <v>2981</v>
      </c>
      <c r="E61" s="0" t="s">
        <v>2982</v>
      </c>
      <c r="F61" s="0" t="s">
        <v>2864</v>
      </c>
      <c r="G61" s="0" t="s">
        <v>2983</v>
      </c>
    </row>
    <row customHeight="1" ht="11.25">
      <c r="A62" s="0" t="s">
        <v>14</v>
      </c>
      <c r="B62" s="0" t="s">
        <v>99</v>
      </c>
      <c r="C62" s="0" t="s">
        <v>100</v>
      </c>
      <c r="D62" s="0" t="s">
        <v>2984</v>
      </c>
      <c r="E62" s="0" t="s">
        <v>2985</v>
      </c>
      <c r="F62" s="0" t="s">
        <v>2864</v>
      </c>
      <c r="G62" s="0" t="s">
        <v>2986</v>
      </c>
    </row>
    <row customHeight="1" ht="11.25">
      <c r="A63" s="0" t="s">
        <v>14</v>
      </c>
      <c r="B63" s="0" t="s">
        <v>99</v>
      </c>
      <c r="C63" s="0" t="s">
        <v>100</v>
      </c>
      <c r="D63" s="0" t="s">
        <v>2987</v>
      </c>
      <c r="E63" s="0" t="s">
        <v>2988</v>
      </c>
      <c r="F63" s="0" t="s">
        <v>2864</v>
      </c>
      <c r="G63" s="0" t="s">
        <v>2989</v>
      </c>
    </row>
    <row customHeight="1" ht="11.25">
      <c r="A64" s="0" t="s">
        <v>14</v>
      </c>
      <c r="B64" s="0" t="s">
        <v>99</v>
      </c>
      <c r="C64" s="0" t="s">
        <v>100</v>
      </c>
      <c r="D64" s="0" t="s">
        <v>2990</v>
      </c>
      <c r="E64" s="0" t="s">
        <v>2991</v>
      </c>
      <c r="F64" s="0" t="s">
        <v>2864</v>
      </c>
      <c r="G64" s="0" t="s">
        <v>2992</v>
      </c>
    </row>
    <row customHeight="1" ht="11.25">
      <c r="A65" s="0" t="s">
        <v>14</v>
      </c>
      <c r="B65" s="0" t="s">
        <v>99</v>
      </c>
      <c r="C65" s="0" t="s">
        <v>100</v>
      </c>
      <c r="D65" s="0" t="s">
        <v>2993</v>
      </c>
      <c r="E65" s="0" t="s">
        <v>2994</v>
      </c>
      <c r="F65" s="0" t="s">
        <v>2864</v>
      </c>
      <c r="G65" s="0" t="s">
        <v>2995</v>
      </c>
    </row>
    <row customHeight="1" ht="11.25">
      <c r="A66" s="0" t="s">
        <v>14</v>
      </c>
      <c r="B66" s="0" t="s">
        <v>99</v>
      </c>
      <c r="C66" s="0" t="s">
        <v>100</v>
      </c>
      <c r="D66" s="0" t="s">
        <v>2996</v>
      </c>
      <c r="E66" s="0" t="s">
        <v>2997</v>
      </c>
      <c r="F66" s="0" t="s">
        <v>2864</v>
      </c>
      <c r="G66" s="0" t="s">
        <v>2998</v>
      </c>
    </row>
    <row customHeight="1" ht="11.25">
      <c r="A67" s="0" t="s">
        <v>14</v>
      </c>
      <c r="B67" s="0" t="s">
        <v>99</v>
      </c>
      <c r="C67" s="0" t="s">
        <v>100</v>
      </c>
      <c r="D67" s="0" t="s">
        <v>2999</v>
      </c>
      <c r="E67" s="0" t="s">
        <v>3000</v>
      </c>
      <c r="F67" s="0" t="s">
        <v>2864</v>
      </c>
      <c r="G67" s="0" t="s">
        <v>1925</v>
      </c>
    </row>
    <row customHeight="1" ht="11.25">
      <c r="A68" s="0" t="s">
        <v>14</v>
      </c>
      <c r="B68" s="0" t="s">
        <v>99</v>
      </c>
      <c r="C68" s="0" t="s">
        <v>100</v>
      </c>
      <c r="D68" s="0" t="s">
        <v>3001</v>
      </c>
      <c r="E68" s="0" t="s">
        <v>3002</v>
      </c>
      <c r="F68" s="0" t="s">
        <v>2864</v>
      </c>
      <c r="G68" s="0" t="s">
        <v>3003</v>
      </c>
    </row>
    <row customHeight="1" ht="11.25">
      <c r="A69" s="0" t="s">
        <v>14</v>
      </c>
      <c r="B69" s="0" t="s">
        <v>99</v>
      </c>
      <c r="C69" s="0" t="s">
        <v>100</v>
      </c>
      <c r="D69" s="0" t="s">
        <v>3004</v>
      </c>
      <c r="E69" s="0" t="s">
        <v>3005</v>
      </c>
      <c r="F69" s="0" t="s">
        <v>2864</v>
      </c>
      <c r="G69" s="0" t="s">
        <v>2136</v>
      </c>
    </row>
    <row customHeight="1" ht="11.25">
      <c r="A70" s="0" t="s">
        <v>14</v>
      </c>
      <c r="B70" s="0" t="s">
        <v>99</v>
      </c>
      <c r="C70" s="0" t="s">
        <v>100</v>
      </c>
      <c r="D70" s="0" t="s">
        <v>3006</v>
      </c>
      <c r="E70" s="0" t="s">
        <v>3007</v>
      </c>
      <c r="F70" s="0" t="s">
        <v>2864</v>
      </c>
      <c r="G70" s="0" t="s">
        <v>3008</v>
      </c>
    </row>
    <row customHeight="1" ht="11.25">
      <c r="A71" s="0" t="s">
        <v>14</v>
      </c>
      <c r="B71" s="0" t="s">
        <v>99</v>
      </c>
      <c r="C71" s="0" t="s">
        <v>100</v>
      </c>
      <c r="D71" s="0" t="s">
        <v>3009</v>
      </c>
      <c r="E71" s="0" t="s">
        <v>3010</v>
      </c>
      <c r="F71" s="0" t="s">
        <v>2864</v>
      </c>
      <c r="G71" s="0" t="s">
        <v>3011</v>
      </c>
    </row>
    <row customHeight="1" ht="11.25">
      <c r="A72" s="0" t="s">
        <v>14</v>
      </c>
      <c r="B72" s="0" t="s">
        <v>99</v>
      </c>
      <c r="C72" s="0" t="s">
        <v>100</v>
      </c>
      <c r="D72" s="0" t="s">
        <v>3012</v>
      </c>
      <c r="E72" s="0" t="s">
        <v>3013</v>
      </c>
      <c r="F72" s="0" t="s">
        <v>2864</v>
      </c>
      <c r="G72" s="0" t="s">
        <v>3014</v>
      </c>
    </row>
    <row customHeight="1" ht="11.25">
      <c r="A73" s="0" t="s">
        <v>14</v>
      </c>
      <c r="B73" s="0" t="s">
        <v>99</v>
      </c>
      <c r="C73" s="0" t="s">
        <v>100</v>
      </c>
      <c r="D73" s="0" t="s">
        <v>3015</v>
      </c>
      <c r="E73" s="0" t="s">
        <v>3016</v>
      </c>
      <c r="F73" s="0" t="s">
        <v>2864</v>
      </c>
      <c r="G73" s="0" t="s">
        <v>3017</v>
      </c>
    </row>
    <row customHeight="1" ht="11.25">
      <c r="A74" s="0" t="s">
        <v>14</v>
      </c>
      <c r="B74" s="0" t="s">
        <v>99</v>
      </c>
      <c r="C74" s="0" t="s">
        <v>100</v>
      </c>
      <c r="D74" s="0" t="s">
        <v>3018</v>
      </c>
      <c r="E74" s="0" t="s">
        <v>3019</v>
      </c>
      <c r="F74" s="0" t="s">
        <v>2864</v>
      </c>
      <c r="G74" s="0" t="s">
        <v>3020</v>
      </c>
    </row>
    <row customHeight="1" ht="11.25">
      <c r="A75" s="0" t="s">
        <v>14</v>
      </c>
      <c r="B75" s="0" t="s">
        <v>99</v>
      </c>
      <c r="C75" s="0" t="s">
        <v>100</v>
      </c>
      <c r="D75" s="0" t="s">
        <v>3021</v>
      </c>
      <c r="E75" s="0" t="s">
        <v>3022</v>
      </c>
      <c r="F75" s="0" t="s">
        <v>2864</v>
      </c>
      <c r="G75" s="0" t="s">
        <v>3023</v>
      </c>
    </row>
    <row customHeight="1" ht="11.25">
      <c r="A76" s="0" t="s">
        <v>14</v>
      </c>
      <c r="B76" s="0" t="s">
        <v>99</v>
      </c>
      <c r="C76" s="0" t="s">
        <v>100</v>
      </c>
      <c r="D76" s="0" t="s">
        <v>3024</v>
      </c>
      <c r="E76" s="0" t="s">
        <v>3025</v>
      </c>
      <c r="F76" s="0" t="s">
        <v>2864</v>
      </c>
      <c r="G76" s="0" t="s">
        <v>3026</v>
      </c>
    </row>
    <row customHeight="1" ht="11.25">
      <c r="A77" s="0" t="s">
        <v>14</v>
      </c>
      <c r="B77" s="0" t="s">
        <v>99</v>
      </c>
      <c r="C77" s="0" t="s">
        <v>100</v>
      </c>
      <c r="D77" s="0" t="s">
        <v>3027</v>
      </c>
      <c r="E77" s="0" t="s">
        <v>3028</v>
      </c>
      <c r="F77" s="0" t="s">
        <v>2864</v>
      </c>
      <c r="G77" s="0" t="s">
        <v>3029</v>
      </c>
    </row>
    <row customHeight="1" ht="11.25">
      <c r="A78" s="0" t="s">
        <v>14</v>
      </c>
      <c r="B78" s="0" t="s">
        <v>99</v>
      </c>
      <c r="C78" s="0" t="s">
        <v>100</v>
      </c>
      <c r="D78" s="0" t="s">
        <v>3030</v>
      </c>
      <c r="E78" s="0" t="s">
        <v>3031</v>
      </c>
      <c r="F78" s="0" t="s">
        <v>2864</v>
      </c>
      <c r="G78" s="0" t="s">
        <v>3032</v>
      </c>
    </row>
    <row customHeight="1" ht="11.25">
      <c r="A79" s="0" t="s">
        <v>14</v>
      </c>
      <c r="B79" s="0" t="s">
        <v>99</v>
      </c>
      <c r="C79" s="0" t="s">
        <v>100</v>
      </c>
      <c r="D79" s="0" t="s">
        <v>3033</v>
      </c>
      <c r="E79" s="0" t="s">
        <v>3034</v>
      </c>
      <c r="F79" s="0" t="s">
        <v>2864</v>
      </c>
      <c r="G79" s="0" t="s">
        <v>3035</v>
      </c>
    </row>
    <row customHeight="1" ht="11.25">
      <c r="A80" s="0" t="s">
        <v>14</v>
      </c>
      <c r="B80" s="0" t="s">
        <v>99</v>
      </c>
      <c r="C80" s="0" t="s">
        <v>100</v>
      </c>
      <c r="D80" s="0" t="s">
        <v>3036</v>
      </c>
      <c r="E80" s="0" t="s">
        <v>3037</v>
      </c>
      <c r="F80" s="0" t="s">
        <v>2864</v>
      </c>
      <c r="G80" s="0" t="s">
        <v>3038</v>
      </c>
    </row>
    <row customHeight="1" ht="11.25">
      <c r="A81" s="0" t="s">
        <v>14</v>
      </c>
      <c r="B81" s="0" t="s">
        <v>99</v>
      </c>
      <c r="C81" s="0" t="s">
        <v>100</v>
      </c>
      <c r="D81" s="0" t="s">
        <v>3039</v>
      </c>
      <c r="E81" s="0" t="s">
        <v>3040</v>
      </c>
      <c r="F81" s="0" t="s">
        <v>2894</v>
      </c>
      <c r="G81" s="0" t="s">
        <v>3041</v>
      </c>
    </row>
    <row customHeight="1" ht="11.25">
      <c r="A82" s="0" t="s">
        <v>14</v>
      </c>
      <c r="B82" s="0" t="s">
        <v>99</v>
      </c>
      <c r="C82" s="0" t="s">
        <v>100</v>
      </c>
      <c r="D82" s="0" t="s">
        <v>3042</v>
      </c>
      <c r="E82" s="0" t="s">
        <v>3043</v>
      </c>
      <c r="F82" s="0" t="s">
        <v>2864</v>
      </c>
      <c r="G82" s="0" t="s">
        <v>3044</v>
      </c>
    </row>
    <row customHeight="1" ht="11.25">
      <c r="A83" s="0" t="s">
        <v>14</v>
      </c>
      <c r="B83" s="0" t="s">
        <v>99</v>
      </c>
      <c r="C83" s="0" t="s">
        <v>100</v>
      </c>
      <c r="D83" s="0" t="s">
        <v>3045</v>
      </c>
      <c r="E83" s="0" t="s">
        <v>3046</v>
      </c>
      <c r="F83" s="0" t="s">
        <v>2864</v>
      </c>
      <c r="G83" s="0" t="s">
        <v>3047</v>
      </c>
    </row>
    <row customHeight="1" ht="11.25">
      <c r="A84" s="0" t="s">
        <v>14</v>
      </c>
      <c r="B84" s="0" t="s">
        <v>99</v>
      </c>
      <c r="C84" s="0" t="s">
        <v>100</v>
      </c>
      <c r="D84" s="0" t="s">
        <v>3048</v>
      </c>
      <c r="E84" s="0" t="s">
        <v>3049</v>
      </c>
      <c r="F84" s="0" t="s">
        <v>2864</v>
      </c>
      <c r="G84" s="0" t="s">
        <v>3050</v>
      </c>
    </row>
    <row customHeight="1" ht="11.25">
      <c r="A85" s="0" t="s">
        <v>14</v>
      </c>
      <c r="B85" s="0" t="s">
        <v>99</v>
      </c>
      <c r="C85" s="0" t="s">
        <v>100</v>
      </c>
      <c r="D85" s="0" t="s">
        <v>3051</v>
      </c>
      <c r="E85" s="0" t="s">
        <v>3052</v>
      </c>
      <c r="F85" s="0" t="s">
        <v>2864</v>
      </c>
      <c r="G85" s="0" t="s">
        <v>3053</v>
      </c>
    </row>
    <row customHeight="1" ht="11.25">
      <c r="A86" s="0" t="s">
        <v>14</v>
      </c>
      <c r="B86" s="0" t="s">
        <v>99</v>
      </c>
      <c r="C86" s="0" t="s">
        <v>100</v>
      </c>
      <c r="D86" s="0" t="s">
        <v>3054</v>
      </c>
      <c r="E86" s="0" t="s">
        <v>3055</v>
      </c>
      <c r="F86" s="0" t="s">
        <v>2864</v>
      </c>
      <c r="G86" s="0" t="s">
        <v>3056</v>
      </c>
    </row>
    <row customHeight="1" ht="11.25">
      <c r="A87" s="0" t="s">
        <v>14</v>
      </c>
      <c r="B87" s="0" t="s">
        <v>99</v>
      </c>
      <c r="C87" s="0" t="s">
        <v>100</v>
      </c>
      <c r="D87" s="0" t="s">
        <v>3057</v>
      </c>
      <c r="E87" s="0" t="s">
        <v>3058</v>
      </c>
      <c r="F87" s="0" t="s">
        <v>2864</v>
      </c>
      <c r="G87" s="0" t="s">
        <v>3059</v>
      </c>
    </row>
    <row customHeight="1" ht="11.25">
      <c r="A88" s="0" t="s">
        <v>14</v>
      </c>
      <c r="B88" s="0" t="s">
        <v>99</v>
      </c>
      <c r="C88" s="0" t="s">
        <v>100</v>
      </c>
      <c r="D88" s="0" t="s">
        <v>3060</v>
      </c>
      <c r="E88" s="0" t="s">
        <v>3061</v>
      </c>
      <c r="F88" s="0" t="s">
        <v>2864</v>
      </c>
      <c r="G88" s="0" t="s">
        <v>3062</v>
      </c>
    </row>
    <row customHeight="1" ht="11.25">
      <c r="A89" s="0" t="s">
        <v>14</v>
      </c>
      <c r="B89" s="0" t="s">
        <v>99</v>
      </c>
      <c r="C89" s="0" t="s">
        <v>100</v>
      </c>
      <c r="D89" s="0" t="s">
        <v>3063</v>
      </c>
      <c r="E89" s="0" t="s">
        <v>3064</v>
      </c>
      <c r="F89" s="0" t="s">
        <v>2864</v>
      </c>
      <c r="G89" s="0" t="s">
        <v>3065</v>
      </c>
    </row>
    <row customHeight="1" ht="11.25">
      <c r="A90" s="0" t="s">
        <v>14</v>
      </c>
      <c r="B90" s="0" t="s">
        <v>99</v>
      </c>
      <c r="C90" s="0" t="s">
        <v>100</v>
      </c>
      <c r="D90" s="0" t="s">
        <v>3066</v>
      </c>
      <c r="E90" s="0" t="s">
        <v>3067</v>
      </c>
      <c r="F90" s="0" t="s">
        <v>2864</v>
      </c>
      <c r="G90" s="0" t="s">
        <v>3068</v>
      </c>
    </row>
    <row customHeight="1" ht="11.25">
      <c r="A91" s="0" t="s">
        <v>14</v>
      </c>
      <c r="B91" s="0" t="s">
        <v>99</v>
      </c>
      <c r="C91" s="0" t="s">
        <v>100</v>
      </c>
      <c r="D91" s="0" t="s">
        <v>3069</v>
      </c>
      <c r="E91" s="0" t="s">
        <v>3070</v>
      </c>
      <c r="F91" s="0" t="s">
        <v>2864</v>
      </c>
      <c r="G91" s="0" t="s">
        <v>3071</v>
      </c>
    </row>
    <row customHeight="1" ht="11.25">
      <c r="A92" s="0" t="s">
        <v>14</v>
      </c>
      <c r="B92" s="0" t="s">
        <v>99</v>
      </c>
      <c r="C92" s="0" t="s">
        <v>100</v>
      </c>
      <c r="D92" s="0" t="s">
        <v>3072</v>
      </c>
      <c r="E92" s="0" t="s">
        <v>3073</v>
      </c>
      <c r="F92" s="0" t="s">
        <v>2864</v>
      </c>
      <c r="G92" s="0" t="s">
        <v>3074</v>
      </c>
    </row>
    <row customHeight="1" ht="11.25">
      <c r="A93" s="0" t="s">
        <v>14</v>
      </c>
      <c r="B93" s="0" t="s">
        <v>99</v>
      </c>
      <c r="C93" s="0" t="s">
        <v>100</v>
      </c>
      <c r="D93" s="0" t="s">
        <v>3075</v>
      </c>
      <c r="E93" s="0" t="s">
        <v>3076</v>
      </c>
      <c r="F93" s="0" t="s">
        <v>2864</v>
      </c>
      <c r="G93" s="0" t="s">
        <v>3077</v>
      </c>
    </row>
    <row customHeight="1" ht="11.25">
      <c r="A94" s="0" t="s">
        <v>14</v>
      </c>
      <c r="B94" s="0" t="s">
        <v>99</v>
      </c>
      <c r="C94" s="0" t="s">
        <v>100</v>
      </c>
      <c r="D94" s="0" t="s">
        <v>3078</v>
      </c>
      <c r="E94" s="0" t="s">
        <v>3079</v>
      </c>
      <c r="F94" s="0" t="s">
        <v>2864</v>
      </c>
      <c r="G94" s="0" t="s">
        <v>3080</v>
      </c>
    </row>
    <row customHeight="1" ht="11.25">
      <c r="A95" s="0" t="s">
        <v>14</v>
      </c>
      <c r="B95" s="0" t="s">
        <v>99</v>
      </c>
      <c r="C95" s="0" t="s">
        <v>100</v>
      </c>
      <c r="D95" s="0" t="s">
        <v>3081</v>
      </c>
      <c r="E95" s="0" t="s">
        <v>3082</v>
      </c>
      <c r="F95" s="0" t="s">
        <v>2864</v>
      </c>
      <c r="G95" s="0" t="s">
        <v>3083</v>
      </c>
    </row>
    <row customHeight="1" ht="11.25">
      <c r="A96" s="0" t="s">
        <v>14</v>
      </c>
      <c r="B96" s="0" t="s">
        <v>99</v>
      </c>
      <c r="C96" s="0" t="s">
        <v>100</v>
      </c>
      <c r="D96" s="0" t="s">
        <v>3084</v>
      </c>
      <c r="E96" s="0" t="s">
        <v>3085</v>
      </c>
      <c r="F96" s="0" t="s">
        <v>2864</v>
      </c>
      <c r="G96" s="0" t="s">
        <v>3086</v>
      </c>
    </row>
    <row customHeight="1" ht="11.25">
      <c r="A97" s="0" t="s">
        <v>14</v>
      </c>
      <c r="B97" s="0" t="s">
        <v>99</v>
      </c>
      <c r="C97" s="0" t="s">
        <v>100</v>
      </c>
      <c r="D97" s="0" t="s">
        <v>3087</v>
      </c>
      <c r="E97" s="0" t="s">
        <v>3088</v>
      </c>
      <c r="F97" s="0" t="s">
        <v>2864</v>
      </c>
      <c r="G97" s="0" t="s">
        <v>3089</v>
      </c>
    </row>
    <row customHeight="1" ht="11.25">
      <c r="A98" s="0" t="s">
        <v>14</v>
      </c>
      <c r="B98" s="0" t="s">
        <v>99</v>
      </c>
      <c r="C98" s="0" t="s">
        <v>100</v>
      </c>
      <c r="D98" s="0" t="s">
        <v>3090</v>
      </c>
      <c r="E98" s="0" t="s">
        <v>3091</v>
      </c>
      <c r="F98" s="0" t="s">
        <v>2864</v>
      </c>
      <c r="G98" s="0" t="s">
        <v>3092</v>
      </c>
    </row>
    <row customHeight="1" ht="11.25">
      <c r="A99" s="0" t="s">
        <v>14</v>
      </c>
      <c r="B99" s="0" t="s">
        <v>99</v>
      </c>
      <c r="C99" s="0" t="s">
        <v>100</v>
      </c>
      <c r="D99" s="0" t="s">
        <v>3093</v>
      </c>
      <c r="E99" s="0" t="s">
        <v>3094</v>
      </c>
      <c r="F99" s="0" t="s">
        <v>2864</v>
      </c>
      <c r="G99" s="0" t="s">
        <v>3095</v>
      </c>
    </row>
    <row customHeight="1" ht="11.25">
      <c r="A100" s="0" t="s">
        <v>14</v>
      </c>
      <c r="B100" s="0" t="s">
        <v>99</v>
      </c>
      <c r="C100" s="0" t="s">
        <v>100</v>
      </c>
      <c r="D100" s="0" t="s">
        <v>3096</v>
      </c>
      <c r="E100" s="0" t="s">
        <v>3097</v>
      </c>
      <c r="F100" s="0" t="s">
        <v>2864</v>
      </c>
      <c r="G100" s="0" t="s">
        <v>3098</v>
      </c>
    </row>
    <row customHeight="1" ht="11.25">
      <c r="A101" s="0" t="s">
        <v>14</v>
      </c>
      <c r="B101" s="0" t="s">
        <v>99</v>
      </c>
      <c r="C101" s="0" t="s">
        <v>100</v>
      </c>
      <c r="D101" s="0" t="s">
        <v>3099</v>
      </c>
      <c r="E101" s="0" t="s">
        <v>3100</v>
      </c>
      <c r="F101" s="0" t="s">
        <v>2864</v>
      </c>
      <c r="G101" s="0" t="s">
        <v>3101</v>
      </c>
    </row>
    <row customHeight="1" ht="11.25">
      <c r="A102" s="0" t="s">
        <v>14</v>
      </c>
      <c r="B102" s="0" t="s">
        <v>99</v>
      </c>
      <c r="C102" s="0" t="s">
        <v>100</v>
      </c>
      <c r="D102" s="0" t="s">
        <v>3102</v>
      </c>
      <c r="E102" s="0" t="s">
        <v>3103</v>
      </c>
      <c r="F102" s="0" t="s">
        <v>2864</v>
      </c>
      <c r="G102" s="0" t="s">
        <v>3104</v>
      </c>
    </row>
    <row customHeight="1" ht="11.25">
      <c r="A103" s="0" t="s">
        <v>14</v>
      </c>
      <c r="B103" s="0" t="s">
        <v>99</v>
      </c>
      <c r="C103" s="0" t="s">
        <v>100</v>
      </c>
      <c r="D103" s="0" t="s">
        <v>3105</v>
      </c>
      <c r="E103" s="0" t="s">
        <v>3106</v>
      </c>
      <c r="F103" s="0" t="s">
        <v>2864</v>
      </c>
      <c r="G103" s="0" t="s">
        <v>3107</v>
      </c>
    </row>
    <row customHeight="1" ht="11.25">
      <c r="A104" s="0" t="s">
        <v>14</v>
      </c>
      <c r="B104" s="0" t="s">
        <v>99</v>
      </c>
      <c r="C104" s="0" t="s">
        <v>100</v>
      </c>
      <c r="D104" s="0" t="s">
        <v>3108</v>
      </c>
      <c r="E104" s="0" t="s">
        <v>3109</v>
      </c>
      <c r="F104" s="0" t="s">
        <v>2864</v>
      </c>
      <c r="G104" s="0" t="s">
        <v>3110</v>
      </c>
    </row>
    <row customHeight="1" ht="11.25">
      <c r="A105" s="0" t="s">
        <v>14</v>
      </c>
      <c r="B105" s="0" t="s">
        <v>99</v>
      </c>
      <c r="C105" s="0" t="s">
        <v>100</v>
      </c>
      <c r="D105" s="0" t="s">
        <v>3111</v>
      </c>
      <c r="E105" s="0" t="s">
        <v>3112</v>
      </c>
      <c r="F105" s="0" t="s">
        <v>2864</v>
      </c>
      <c r="G105" s="0" t="s">
        <v>3113</v>
      </c>
    </row>
    <row customHeight="1" ht="11.25">
      <c r="A106" s="0" t="s">
        <v>14</v>
      </c>
      <c r="B106" s="0" t="s">
        <v>99</v>
      </c>
      <c r="C106" s="0" t="s">
        <v>100</v>
      </c>
      <c r="D106" s="0" t="s">
        <v>3114</v>
      </c>
      <c r="E106" s="0" t="s">
        <v>3115</v>
      </c>
      <c r="F106" s="0" t="s">
        <v>2864</v>
      </c>
      <c r="G106" s="0" t="s">
        <v>3116</v>
      </c>
    </row>
    <row customHeight="1" ht="11.25">
      <c r="A107" s="0" t="s">
        <v>14</v>
      </c>
      <c r="B107" s="0" t="s">
        <v>99</v>
      </c>
      <c r="C107" s="0" t="s">
        <v>100</v>
      </c>
      <c r="D107" s="0" t="s">
        <v>3117</v>
      </c>
      <c r="E107" s="0" t="s">
        <v>3118</v>
      </c>
      <c r="F107" s="0" t="s">
        <v>2864</v>
      </c>
      <c r="G107" s="0" t="s">
        <v>3119</v>
      </c>
    </row>
    <row customHeight="1" ht="11.25">
      <c r="A108" s="0" t="s">
        <v>14</v>
      </c>
      <c r="B108" s="0" t="s">
        <v>99</v>
      </c>
      <c r="C108" s="0" t="s">
        <v>100</v>
      </c>
      <c r="D108" s="0" t="s">
        <v>3120</v>
      </c>
      <c r="E108" s="0" t="s">
        <v>3121</v>
      </c>
      <c r="F108" s="0" t="s">
        <v>2864</v>
      </c>
      <c r="G108" s="0" t="s">
        <v>3122</v>
      </c>
    </row>
    <row customHeight="1" ht="11.25">
      <c r="A109" s="0" t="s">
        <v>14</v>
      </c>
      <c r="B109" s="0" t="s">
        <v>99</v>
      </c>
      <c r="C109" s="0" t="s">
        <v>100</v>
      </c>
      <c r="D109" s="0" t="s">
        <v>3123</v>
      </c>
      <c r="E109" s="0" t="s">
        <v>3124</v>
      </c>
      <c r="F109" s="0" t="s">
        <v>2864</v>
      </c>
      <c r="G109" s="0" t="s">
        <v>3125</v>
      </c>
    </row>
    <row customHeight="1" ht="11.25">
      <c r="A110" s="0" t="s">
        <v>14</v>
      </c>
      <c r="B110" s="0" t="s">
        <v>99</v>
      </c>
      <c r="C110" s="0" t="s">
        <v>100</v>
      </c>
      <c r="D110" s="0" t="s">
        <v>3126</v>
      </c>
      <c r="E110" s="0" t="s">
        <v>3127</v>
      </c>
      <c r="F110" s="0" t="s">
        <v>2864</v>
      </c>
      <c r="G110" s="0" t="s">
        <v>3128</v>
      </c>
    </row>
    <row customHeight="1" ht="11.25">
      <c r="A111" s="0" t="s">
        <v>14</v>
      </c>
      <c r="B111" s="0" t="s">
        <v>99</v>
      </c>
      <c r="C111" s="0" t="s">
        <v>100</v>
      </c>
      <c r="D111" s="0" t="s">
        <v>3129</v>
      </c>
      <c r="E111" s="0" t="s">
        <v>3130</v>
      </c>
      <c r="F111" s="0" t="s">
        <v>2864</v>
      </c>
      <c r="G111" s="0" t="s">
        <v>3131</v>
      </c>
    </row>
    <row customHeight="1" ht="11.25">
      <c r="A112" s="0" t="s">
        <v>14</v>
      </c>
      <c r="B112" s="0" t="s">
        <v>99</v>
      </c>
      <c r="C112" s="0" t="s">
        <v>100</v>
      </c>
      <c r="D112" s="0" t="s">
        <v>3132</v>
      </c>
      <c r="E112" s="0" t="s">
        <v>3133</v>
      </c>
      <c r="F112" s="0" t="s">
        <v>2864</v>
      </c>
      <c r="G112" s="0" t="s">
        <v>3134</v>
      </c>
    </row>
    <row customHeight="1" ht="11.25">
      <c r="A113" s="0" t="s">
        <v>14</v>
      </c>
      <c r="B113" s="0" t="s">
        <v>99</v>
      </c>
      <c r="C113" s="0" t="s">
        <v>100</v>
      </c>
      <c r="D113" s="0" t="s">
        <v>3135</v>
      </c>
      <c r="E113" s="0" t="s">
        <v>3136</v>
      </c>
      <c r="F113" s="0" t="s">
        <v>2894</v>
      </c>
      <c r="G113" s="0" t="s">
        <v>3137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3AB15D-3A16-7FAC-5193-A88E337E5F77}"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715" width="9.140625"/>
    <col min="2" max="2" style="1715" width="84.28125" customWidth="1"/>
    <col min="3" max="3" style="1715" width="9.140625"/>
  </cols>
  <sheetData>
    <row customHeight="1" ht="11.25">
      <c r="A1" s="829" t="s">
        <v>3189</v>
      </c>
      <c r="B1" s="829" t="s">
        <v>3190</v>
      </c>
      <c r="C1" s="829" t="s">
        <v>1171</v>
      </c>
    </row>
    <row customHeight="1" ht="11.25">
      <c r="A2" s="829">
        <v>4189678</v>
      </c>
      <c r="B2" s="829" t="s">
        <v>3191</v>
      </c>
      <c r="C2" s="829" t="s">
        <v>3192</v>
      </c>
    </row>
    <row customHeight="1" ht="11.25">
      <c r="A3" s="829">
        <v>4190415</v>
      </c>
      <c r="B3" s="829" t="s">
        <v>3193</v>
      </c>
      <c r="C3" s="829" t="s">
        <v>3192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437344-EC3F-2807-7462-BC05C4BF7526}"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42" width="38.421875" customWidth="1"/>
    <col min="2" max="5" style="142" width="9.140625"/>
  </cols>
  <sheetData>
    <row customHeight="1" ht="15">
      <c r="A1" s="143" t="s">
        <v>3194</v>
      </c>
      <c r="B1" s="143" t="s">
        <v>3195</v>
      </c>
      <c r="C1" s="143"/>
      <c r="D1" s="143"/>
      <c r="E1" s="143"/>
    </row>
    <row customHeight="1" ht="15">
      <c r="A2" s="143"/>
      <c r="B2" s="143"/>
      <c r="C2" s="143"/>
      <c r="D2" s="143"/>
      <c r="E2" s="143"/>
    </row>
    <row customHeight="1" ht="15">
      <c r="A3" s="143"/>
      <c r="B3" s="143"/>
      <c r="C3" s="143"/>
      <c r="D3" s="143"/>
      <c r="E3" s="143"/>
    </row>
    <row customHeight="1" ht="15">
      <c r="A4" s="143"/>
      <c r="B4" s="143"/>
      <c r="C4" s="143"/>
      <c r="D4" s="143"/>
      <c r="E4" s="143"/>
    </row>
    <row customHeight="1" ht="15">
      <c r="A5" s="143"/>
      <c r="B5" s="143"/>
      <c r="C5" s="143"/>
      <c r="D5" s="143"/>
      <c r="E5" s="143"/>
    </row>
    <row customHeight="1" ht="15">
      <c r="A6" s="143"/>
      <c r="B6" s="143"/>
      <c r="C6" s="143"/>
      <c r="D6" s="143"/>
      <c r="E6" s="143"/>
    </row>
    <row customHeight="1" ht="15">
      <c r="A7" s="143"/>
      <c r="B7" s="143"/>
      <c r="C7" s="143"/>
      <c r="D7" s="143"/>
      <c r="E7" s="143"/>
    </row>
    <row customHeight="1" ht="15">
      <c r="A8" s="143"/>
      <c r="B8" s="143"/>
      <c r="C8" s="143"/>
      <c r="D8" s="143"/>
      <c r="E8" s="14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F32FCE-29FE-F156-12CD-EADA1BA1B51E}"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3196</v>
      </c>
      <c r="B1" s="0" t="b">
        <v>1</v>
      </c>
    </row>
    <row customHeight="1" ht="11.25">
      <c r="A2" s="0" t="s">
        <v>3197</v>
      </c>
      <c r="B2" s="0" t="b">
        <v>0</v>
      </c>
    </row>
    <row customHeight="1" ht="11.25">
      <c r="A3" s="0" t="s">
        <v>3198</v>
      </c>
      <c r="B3" s="0" t="b">
        <v>1</v>
      </c>
    </row>
    <row customHeight="1" ht="11.25">
      <c r="A4" s="0" t="s">
        <v>3199</v>
      </c>
      <c r="B4" s="0" t="b">
        <v>0</v>
      </c>
    </row>
    <row customHeight="1" ht="11.25">
      <c r="A5" s="0" t="s">
        <v>3200</v>
      </c>
      <c r="B5" s="0" t="b">
        <v>0</v>
      </c>
    </row>
    <row customHeight="1" ht="11.25">
      <c r="A6" s="0" t="s">
        <v>3201</v>
      </c>
      <c r="B6" s="0" t="b">
        <v>0</v>
      </c>
    </row>
    <row customHeight="1" ht="11.25">
      <c r="A7" s="0" t="s">
        <v>3202</v>
      </c>
      <c r="B7" s="0" t="b">
        <v>0</v>
      </c>
    </row>
    <row customHeight="1" ht="11.25">
      <c r="A8" s="0" t="s">
        <v>3203</v>
      </c>
      <c r="B8" s="0" t="b">
        <v>0</v>
      </c>
    </row>
    <row customHeight="1" ht="11.25">
      <c r="A9" s="0" t="s">
        <v>3204</v>
      </c>
      <c r="B9" s="0" t="b">
        <v>1</v>
      </c>
    </row>
    <row customHeight="1" ht="11.25">
      <c r="A10" s="0" t="s">
        <v>3205</v>
      </c>
      <c r="B10" s="0" t="b">
        <v>0</v>
      </c>
    </row>
    <row customHeight="1" ht="11.25">
      <c r="A11" s="0" t="s">
        <v>3206</v>
      </c>
      <c r="B11" s="0" t="b">
        <v>0</v>
      </c>
    </row>
    <row customHeight="1" ht="11.25">
      <c r="A12" s="0" t="s">
        <v>3207</v>
      </c>
      <c r="B12" s="0" t="b">
        <v>0</v>
      </c>
    </row>
    <row customHeight="1" ht="11.25">
      <c r="A13" s="0" t="s">
        <v>3208</v>
      </c>
      <c r="B13" s="0" t="b">
        <v>0</v>
      </c>
    </row>
    <row customHeight="1" ht="11.25">
      <c r="A14" s="0" t="s">
        <v>3209</v>
      </c>
      <c r="B14" s="0" t="b">
        <v>0</v>
      </c>
    </row>
    <row customHeight="1" ht="11.25">
      <c r="A15" s="0" t="s">
        <v>3210</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045F46-FCCD-C686-1D26-182C66A9808C}"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28" width="9.140625"/>
  </cols>
  <sheetData>
    <row customHeight="1" ht="12.75">
      <c r="A1" s="74"/>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5690AE-C35A-27FB-03AB-760D99661B34}"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437" width="36.28125" customWidth="1"/>
    <col min="2" max="2" style="2437" width="21.140625" customWidth="1"/>
  </cols>
  <sheetData>
    <row customHeight="1" ht="11.25">
      <c r="A1" s="49" t="s">
        <v>3211</v>
      </c>
      <c r="B1" s="49" t="s">
        <v>3212</v>
      </c>
    </row>
    <row customHeight="1" ht="11.25">
      <c r="A2" s="0" t="s">
        <v>3213</v>
      </c>
      <c r="B2" s="0" t="s">
        <v>3214</v>
      </c>
    </row>
    <row customHeight="1" ht="11.25">
      <c r="A3" s="0" t="s">
        <v>3215</v>
      </c>
      <c r="B3" s="0" t="s">
        <v>3216</v>
      </c>
    </row>
    <row customHeight="1" ht="11.25">
      <c r="A4" s="0" t="s">
        <v>3217</v>
      </c>
      <c r="B4" s="0" t="s">
        <v>3218</v>
      </c>
    </row>
    <row customHeight="1" ht="11.25">
      <c r="A5" s="0" t="s">
        <v>3219</v>
      </c>
      <c r="B5" s="0" t="s">
        <v>3220</v>
      </c>
    </row>
    <row customHeight="1" ht="11.25">
      <c r="A6" s="0" t="s">
        <v>3221</v>
      </c>
      <c r="B6" s="0" t="s">
        <v>3222</v>
      </c>
    </row>
    <row customHeight="1" ht="11.25">
      <c r="A7" s="0" t="s">
        <v>3223</v>
      </c>
      <c r="B7" s="0" t="s">
        <v>3224</v>
      </c>
    </row>
    <row customHeight="1" ht="11.25">
      <c r="A8" s="0" t="s">
        <v>3225</v>
      </c>
      <c r="B8" s="0" t="s">
        <v>3226</v>
      </c>
    </row>
    <row customHeight="1" ht="11.25">
      <c r="A9" s="0" t="s">
        <v>3227</v>
      </c>
      <c r="B9" s="0" t="s">
        <v>3228</v>
      </c>
    </row>
    <row customHeight="1" ht="11.25">
      <c r="A10" s="0" t="s">
        <v>3229</v>
      </c>
      <c r="B10" s="0" t="s">
        <v>3230</v>
      </c>
    </row>
    <row customHeight="1" ht="11.25">
      <c r="A11" s="0" t="s">
        <v>3231</v>
      </c>
      <c r="B11" s="0" t="s">
        <v>3232</v>
      </c>
    </row>
    <row customHeight="1" ht="11.25">
      <c r="A12" s="0" t="s">
        <v>3233</v>
      </c>
      <c r="B12" s="0" t="s">
        <v>3234</v>
      </c>
    </row>
    <row customHeight="1" ht="11.25">
      <c r="A13" s="0" t="s">
        <v>3235</v>
      </c>
      <c r="B13" s="0" t="s">
        <v>3236</v>
      </c>
    </row>
    <row customHeight="1" ht="11.25">
      <c r="A14" s="0" t="s">
        <v>3237</v>
      </c>
      <c r="B14" s="0" t="s">
        <v>3238</v>
      </c>
    </row>
    <row customHeight="1" ht="11.25">
      <c r="A15" s="0" t="s">
        <v>3239</v>
      </c>
      <c r="B15" s="0" t="s">
        <v>3240</v>
      </c>
    </row>
    <row customHeight="1" ht="11.25">
      <c r="A16" s="0" t="s">
        <v>3241</v>
      </c>
      <c r="B16" s="0" t="s">
        <v>3242</v>
      </c>
    </row>
    <row customHeight="1" ht="11.25">
      <c r="A17" s="0" t="s">
        <v>3243</v>
      </c>
      <c r="B17" s="0" t="s">
        <v>3244</v>
      </c>
    </row>
    <row customHeight="1" ht="11.25">
      <c r="A18" s="0" t="s">
        <v>3245</v>
      </c>
      <c r="B18" s="0" t="s">
        <v>3246</v>
      </c>
    </row>
    <row customHeight="1" ht="11.25">
      <c r="A19" s="0" t="s">
        <v>3247</v>
      </c>
      <c r="B19" s="0" t="s">
        <v>3248</v>
      </c>
    </row>
    <row customHeight="1" ht="11.25">
      <c r="A20" s="0" t="s">
        <v>3249</v>
      </c>
      <c r="B20" s="0" t="s">
        <v>3250</v>
      </c>
    </row>
    <row customHeight="1" ht="11.25">
      <c r="A21" s="0" t="s">
        <v>3251</v>
      </c>
      <c r="B21" s="0" t="s">
        <v>3252</v>
      </c>
    </row>
    <row customHeight="1" ht="11.25">
      <c r="A22" s="0" t="s">
        <v>3253</v>
      </c>
      <c r="B22" s="0" t="s">
        <v>3254</v>
      </c>
    </row>
    <row customHeight="1" ht="11.25">
      <c r="A23" s="0" t="s">
        <v>3255</v>
      </c>
      <c r="B23" s="0" t="s">
        <v>3256</v>
      </c>
    </row>
    <row customHeight="1" ht="11.25">
      <c r="A24" s="0" t="s">
        <v>3257</v>
      </c>
      <c r="B24" s="0" t="s">
        <v>3258</v>
      </c>
    </row>
    <row customHeight="1" ht="11.25">
      <c r="A25" s="0" t="s">
        <v>3259</v>
      </c>
      <c r="B25" s="0" t="s">
        <v>3260</v>
      </c>
    </row>
    <row customHeight="1" ht="11.25">
      <c r="A26" s="0" t="s">
        <v>3261</v>
      </c>
      <c r="B26" s="0" t="s">
        <v>3262</v>
      </c>
    </row>
    <row customHeight="1" ht="11.25">
      <c r="A27" s="0" t="s">
        <v>3263</v>
      </c>
      <c r="B27" s="0" t="s">
        <v>3264</v>
      </c>
    </row>
    <row customHeight="1" ht="11.25">
      <c r="A28" s="0" t="s">
        <v>3265</v>
      </c>
      <c r="B28" s="0" t="s">
        <v>3266</v>
      </c>
    </row>
    <row customHeight="1" ht="11.25">
      <c r="A29" s="0" t="s">
        <v>3267</v>
      </c>
      <c r="B29" s="0" t="s">
        <v>3268</v>
      </c>
    </row>
    <row customHeight="1" ht="11.25">
      <c r="A30" s="0" t="s">
        <v>3269</v>
      </c>
      <c r="B30" s="0" t="s">
        <v>3270</v>
      </c>
    </row>
    <row customHeight="1" ht="11.25">
      <c r="A31" s="0" t="s">
        <v>3271</v>
      </c>
      <c r="B31" s="0" t="s">
        <v>3272</v>
      </c>
    </row>
    <row customHeight="1" ht="11.25">
      <c r="A32" s="0" t="s">
        <v>3273</v>
      </c>
      <c r="B32" s="0" t="s">
        <v>3274</v>
      </c>
    </row>
    <row customHeight="1" ht="11.25">
      <c r="A33" s="0" t="s">
        <v>3275</v>
      </c>
      <c r="B33" s="0" t="s">
        <v>3276</v>
      </c>
    </row>
    <row customHeight="1" ht="11.25">
      <c r="A34" s="0" t="s">
        <v>3277</v>
      </c>
      <c r="B34" s="0" t="s">
        <v>3278</v>
      </c>
    </row>
    <row customHeight="1" ht="11.25">
      <c r="A35" s="0" t="s">
        <v>3279</v>
      </c>
      <c r="B35" s="0" t="s">
        <v>3280</v>
      </c>
    </row>
    <row customHeight="1" ht="11.25">
      <c r="A36" s="0" t="s">
        <v>3281</v>
      </c>
      <c r="B36" s="0" t="s">
        <v>3282</v>
      </c>
    </row>
    <row customHeight="1" ht="11.25">
      <c r="A37" s="0" t="s">
        <v>3283</v>
      </c>
      <c r="B37" s="0" t="s">
        <v>3284</v>
      </c>
    </row>
    <row customHeight="1" ht="11.25">
      <c r="A38" s="0" t="s">
        <v>3285</v>
      </c>
      <c r="B38" s="0" t="s">
        <v>3286</v>
      </c>
    </row>
    <row customHeight="1" ht="11.25">
      <c r="A39" s="0" t="s">
        <v>3287</v>
      </c>
      <c r="B39" s="0" t="s">
        <v>3288</v>
      </c>
    </row>
    <row customHeight="1" ht="11.25">
      <c r="A40" s="0" t="s">
        <v>3289</v>
      </c>
      <c r="B40" s="0" t="s">
        <v>3290</v>
      </c>
    </row>
    <row customHeight="1" ht="11.25">
      <c r="A41" s="0" t="s">
        <v>3291</v>
      </c>
      <c r="B41" s="0" t="s">
        <v>3292</v>
      </c>
    </row>
    <row customHeight="1" ht="11.25">
      <c r="A42" s="0" t="s">
        <v>3293</v>
      </c>
      <c r="B42" s="0" t="s">
        <v>3294</v>
      </c>
    </row>
    <row customHeight="1" ht="11.25">
      <c r="A43" s="0" t="s">
        <v>3295</v>
      </c>
      <c r="B43" s="0" t="s">
        <v>3296</v>
      </c>
    </row>
    <row customHeight="1" ht="11.25">
      <c r="A44" s="0" t="s">
        <v>3297</v>
      </c>
      <c r="B44" s="0" t="s">
        <v>3298</v>
      </c>
    </row>
    <row customHeight="1" ht="11.25">
      <c r="A45" s="0" t="s">
        <v>3299</v>
      </c>
      <c r="B45" s="0" t="s">
        <v>3300</v>
      </c>
    </row>
    <row customHeight="1" ht="11.25">
      <c r="A46" s="0" t="s">
        <v>3301</v>
      </c>
      <c r="B46" s="0" t="s">
        <v>3302</v>
      </c>
    </row>
    <row customHeight="1" ht="11.25">
      <c r="A47" s="0" t="s">
        <v>3303</v>
      </c>
      <c r="B47" s="0" t="s">
        <v>3304</v>
      </c>
    </row>
    <row customHeight="1" ht="11.25">
      <c r="A48" s="0" t="s">
        <v>3305</v>
      </c>
      <c r="B48" s="0" t="s">
        <v>3306</v>
      </c>
    </row>
    <row customHeight="1" ht="11.25">
      <c r="A49" s="0" t="s">
        <v>3307</v>
      </c>
      <c r="B49" s="0" t="s">
        <v>3308</v>
      </c>
    </row>
    <row customHeight="1" ht="11.25">
      <c r="A50" s="0" t="s">
        <v>3309</v>
      </c>
      <c r="B50" s="0" t="s">
        <v>3310</v>
      </c>
    </row>
    <row customHeight="1" ht="11.25">
      <c r="A51" s="0" t="s">
        <v>3311</v>
      </c>
      <c r="B51" s="0" t="s">
        <v>3312</v>
      </c>
    </row>
    <row customHeight="1" ht="11.25">
      <c r="A52" s="0" t="s">
        <v>3313</v>
      </c>
      <c r="B52" s="0" t="s">
        <v>3314</v>
      </c>
    </row>
    <row customHeight="1" ht="11.25">
      <c r="A53" s="0" t="s">
        <v>3315</v>
      </c>
      <c r="B53" s="0" t="s">
        <v>3316</v>
      </c>
    </row>
    <row customHeight="1" ht="11.25">
      <c r="A54" s="0" t="s">
        <v>3317</v>
      </c>
      <c r="B54" s="0" t="s">
        <v>3318</v>
      </c>
    </row>
    <row customHeight="1" ht="11.25">
      <c r="A55" s="0" t="s">
        <v>3319</v>
      </c>
      <c r="B55" s="0" t="s">
        <v>3320</v>
      </c>
    </row>
    <row customHeight="1" ht="11.25">
      <c r="A56" s="0" t="s">
        <v>3321</v>
      </c>
      <c r="B56" s="0" t="s">
        <v>3322</v>
      </c>
    </row>
    <row customHeight="1" ht="11.25">
      <c r="A57" s="0" t="s">
        <v>3323</v>
      </c>
      <c r="B57" s="0" t="s">
        <v>3324</v>
      </c>
    </row>
    <row customHeight="1" ht="11.25">
      <c r="A58" s="0" t="s">
        <v>3325</v>
      </c>
      <c r="B58" s="0" t="s">
        <v>3326</v>
      </c>
    </row>
    <row customHeight="1" ht="11.25">
      <c r="A59" s="0" t="s">
        <v>3327</v>
      </c>
      <c r="B59" s="0" t="s">
        <v>3328</v>
      </c>
    </row>
    <row customHeight="1" ht="11.25">
      <c r="A60" s="0" t="s">
        <v>3329</v>
      </c>
      <c r="B60" s="0" t="s">
        <v>3330</v>
      </c>
    </row>
    <row customHeight="1" ht="11.25">
      <c r="A61" s="0"/>
      <c r="B61" s="0" t="s">
        <v>3331</v>
      </c>
    </row>
    <row customHeight="1" ht="11.25">
      <c r="A62" s="0"/>
      <c r="B62" s="0" t="s">
        <v>3332</v>
      </c>
    </row>
    <row customHeight="1" ht="11.25">
      <c r="A63" s="0"/>
      <c r="B63" s="0" t="s">
        <v>3333</v>
      </c>
    </row>
    <row customHeight="1" ht="11.25">
      <c r="A64" s="0"/>
      <c r="B64" s="0" t="s">
        <v>3334</v>
      </c>
    </row>
    <row customHeight="1" ht="11.25">
      <c r="A65" s="0"/>
      <c r="B65" s="0" t="s">
        <v>3335</v>
      </c>
    </row>
    <row customHeight="1" ht="11.25">
      <c r="A66" s="0"/>
      <c r="B66" s="0" t="s">
        <v>3336</v>
      </c>
    </row>
    <row customHeight="1" ht="11.25">
      <c r="A67" s="0"/>
      <c r="B67" s="0" t="s">
        <v>3337</v>
      </c>
    </row>
    <row customHeight="1" ht="11.25">
      <c r="A68" s="0"/>
      <c r="B68" s="0" t="s">
        <v>3338</v>
      </c>
    </row>
    <row customHeight="1" ht="11.25">
      <c r="A69" s="0"/>
      <c r="B69" s="0" t="s">
        <v>3339</v>
      </c>
    </row>
    <row customHeight="1" ht="11.25">
      <c r="A70" s="0"/>
      <c r="B70" s="0" t="s">
        <v>3340</v>
      </c>
    </row>
    <row customHeight="1" ht="11.25">
      <c r="A71" s="0"/>
      <c r="B71" s="0"/>
    </row>
    <row customHeight="1" ht="11.25">
      <c r="A72" s="0"/>
      <c r="B72" s="0"/>
    </row>
    <row customHeight="1" ht="11.25">
      <c r="A73" s="0"/>
      <c r="B73" s="0"/>
    </row>
    <row customHeight="1" ht="11.25">
      <c r="A74" s="0"/>
      <c r="B74" s="0"/>
    </row>
    <row customHeight="1" ht="11.25">
      <c r="A75" s="0"/>
      <c r="B75" s="0"/>
    </row>
    <row customHeight="1" ht="11.25">
      <c r="A76" s="0"/>
      <c r="B76" s="0"/>
    </row>
    <row customHeight="1" ht="11.25">
      <c r="A77" s="0"/>
      <c r="B77" s="0"/>
    </row>
    <row customHeight="1" ht="11.25">
      <c r="A78" s="0"/>
      <c r="B78" s="0"/>
    </row>
    <row customHeight="1" ht="11.25">
      <c r="A79" s="0"/>
      <c r="B79" s="0"/>
    </row>
    <row customHeight="1" ht="11.25">
      <c r="A80" s="0"/>
      <c r="B80" s="0"/>
    </row>
    <row customHeight="1" ht="11.25">
      <c r="A81" s="0"/>
      <c r="B81" s="0"/>
    </row>
    <row customHeight="1" ht="11.25">
      <c r="A82" s="0"/>
      <c r="B82" s="0"/>
    </row>
    <row customHeight="1" ht="11.25">
      <c r="A83" s="0"/>
      <c r="B83" s="0"/>
    </row>
    <row customHeight="1" ht="11.25">
      <c r="A84" s="0"/>
      <c r="B84" s="0"/>
    </row>
    <row customHeight="1" ht="11.25">
      <c r="A85" s="0"/>
      <c r="B85" s="0"/>
    </row>
    <row customHeight="1" ht="11.25">
      <c r="A86" s="0"/>
      <c r="B86" s="0"/>
    </row>
    <row customHeight="1" ht="11.25">
      <c r="A87" s="0"/>
      <c r="B87" s="0"/>
    </row>
    <row customHeight="1" ht="11.25">
      <c r="A88" s="0"/>
      <c r="B88" s="0"/>
    </row>
    <row customHeight="1" ht="11.25">
      <c r="A89" s="0"/>
      <c r="B89" s="0"/>
    </row>
    <row customHeight="1" ht="11.25">
      <c r="A90" s="0"/>
      <c r="B90" s="0"/>
    </row>
    <row customHeight="1" ht="11.25">
      <c r="A91" s="0"/>
      <c r="B91" s="0"/>
    </row>
    <row customHeight="1" ht="11.25">
      <c r="A92" s="0"/>
      <c r="B92" s="0"/>
    </row>
    <row customHeight="1" ht="11.25">
      <c r="A93" s="0"/>
      <c r="B93" s="0"/>
    </row>
    <row customHeight="1" ht="11.25">
      <c r="A94" s="0"/>
      <c r="B94" s="0"/>
    </row>
    <row customHeight="1" ht="11.25">
      <c r="A95" s="0"/>
      <c r="B95" s="0"/>
    </row>
    <row customHeight="1" ht="11.25">
      <c r="A96" s="0"/>
      <c r="B96" s="0"/>
    </row>
    <row customHeight="1" ht="11.25">
      <c r="A97" s="0"/>
      <c r="B97" s="0"/>
    </row>
    <row customHeight="1" ht="11.25">
      <c r="A98" s="0"/>
      <c r="B98" s="0"/>
    </row>
    <row customHeight="1" ht="11.25">
      <c r="A99" s="0"/>
      <c r="B99" s="0"/>
    </row>
    <row customHeight="1" ht="11.25">
      <c r="A100" s="0"/>
      <c r="B100" s="0"/>
    </row>
    <row customHeight="1" ht="11.25">
      <c r="A101" s="0"/>
      <c r="B101" s="0"/>
    </row>
    <row customHeight="1" ht="11.25">
      <c r="A102" s="0"/>
      <c r="B102" s="0"/>
    </row>
    <row customHeight="1" ht="11.25">
      <c r="A103" s="0"/>
      <c r="B103" s="0"/>
    </row>
    <row customHeight="1" ht="11.25">
      <c r="A104" s="0"/>
      <c r="B104" s="0"/>
    </row>
    <row customHeight="1" ht="11.25">
      <c r="A105" s="0"/>
      <c r="B105" s="0"/>
    </row>
    <row customHeight="1" ht="11.25">
      <c r="A106" s="0"/>
      <c r="B106" s="0"/>
    </row>
    <row customHeight="1" ht="11.25">
      <c r="A107" s="0"/>
      <c r="B107" s="0"/>
    </row>
    <row customHeight="1" ht="11.25">
      <c r="A108" s="0"/>
      <c r="B108" s="0"/>
    </row>
    <row customHeight="1" ht="11.25">
      <c r="A109" s="0"/>
      <c r="B109" s="0"/>
    </row>
    <row customHeight="1" ht="11.25">
      <c r="A110" s="0"/>
      <c r="B110" s="0"/>
    </row>
    <row customHeight="1" ht="11.25">
      <c r="A111" s="0"/>
      <c r="B111" s="0"/>
    </row>
    <row customHeight="1" ht="11.25">
      <c r="A112" s="0"/>
      <c r="B112" s="0"/>
    </row>
    <row customHeight="1" ht="11.25">
      <c r="A113" s="0"/>
      <c r="B113" s="0"/>
    </row>
    <row customHeight="1" ht="11.25">
      <c r="A114" s="0"/>
      <c r="B114" s="0"/>
    </row>
    <row customHeight="1" ht="11.25">
      <c r="A115" s="0"/>
      <c r="B115" s="0"/>
    </row>
    <row customHeight="1" ht="11.25">
      <c r="A116" s="0"/>
      <c r="B116" s="0"/>
    </row>
    <row customHeight="1" ht="11.25">
      <c r="A117" s="0"/>
      <c r="B117" s="0"/>
    </row>
    <row customHeight="1" ht="11.25">
      <c r="A118" s="0"/>
      <c r="B118" s="0"/>
    </row>
    <row customHeight="1" ht="11.25">
      <c r="A119" s="0"/>
      <c r="B119" s="0"/>
    </row>
    <row customHeight="1" ht="11.25">
      <c r="A120" s="0"/>
      <c r="B120" s="0"/>
    </row>
    <row customHeight="1" ht="11.25">
      <c r="A121" s="0"/>
      <c r="B121" s="0"/>
    </row>
    <row customHeight="1" ht="11.25">
      <c r="A122" s="0"/>
      <c r="B122" s="0"/>
    </row>
    <row customHeight="1" ht="11.25">
      <c r="A123" s="0"/>
      <c r="B123" s="0"/>
    </row>
    <row customHeight="1" ht="11.25">
      <c r="A124" s="0"/>
      <c r="B124" s="0"/>
    </row>
    <row customHeight="1" ht="11.25">
      <c r="A125" s="0"/>
      <c r="B125" s="0"/>
    </row>
    <row customHeight="1" ht="11.25">
      <c r="A126" s="0"/>
      <c r="B126" s="0"/>
    </row>
    <row customHeight="1" ht="11.25">
      <c r="A127" s="0"/>
      <c r="B127" s="0"/>
    </row>
    <row customHeight="1" ht="11.25">
      <c r="A128" s="0"/>
      <c r="B128" s="0"/>
    </row>
    <row customHeight="1" ht="11.25">
      <c r="A129" s="0"/>
      <c r="B129" s="0"/>
    </row>
    <row customHeight="1" ht="11.25">
      <c r="A130" s="0"/>
      <c r="B130" s="0"/>
    </row>
    <row customHeight="1" ht="11.25">
      <c r="A131" s="0"/>
      <c r="B131" s="0"/>
    </row>
    <row customHeight="1" ht="11.25">
      <c r="A132" s="0"/>
      <c r="B132" s="0"/>
    </row>
    <row customHeight="1" ht="11.25">
      <c r="A133" s="0"/>
      <c r="B133" s="0"/>
    </row>
    <row customHeight="1" ht="11.25">
      <c r="A134" s="0"/>
      <c r="B134" s="0"/>
    </row>
    <row customHeight="1" ht="11.25">
      <c r="A135" s="0"/>
      <c r="B135" s="0"/>
    </row>
    <row customHeight="1" ht="11.25">
      <c r="A136" s="0"/>
      <c r="B136" s="0"/>
    </row>
    <row customHeight="1" ht="11.25">
      <c r="A137" s="0"/>
      <c r="B137" s="0"/>
    </row>
    <row customHeight="1" ht="11.25">
      <c r="A138" s="0"/>
      <c r="B138" s="0"/>
    </row>
    <row customHeight="1" ht="11.25">
      <c r="A139" s="0"/>
      <c r="B139" s="0"/>
    </row>
    <row customHeight="1" ht="11.25">
      <c r="A140" s="0"/>
      <c r="B140" s="0"/>
    </row>
    <row customHeight="1" ht="11.25">
      <c r="A141" s="0"/>
      <c r="B141" s="0"/>
    </row>
    <row customHeight="1" ht="11.25">
      <c r="A142" s="0"/>
      <c r="B142" s="0"/>
    </row>
    <row customHeight="1" ht="11.25">
      <c r="A143" s="0"/>
      <c r="B143" s="0"/>
    </row>
    <row customHeight="1" ht="11.25">
      <c r="A144" s="0"/>
      <c r="B144" s="0"/>
    </row>
    <row customHeight="1" ht="11.25">
      <c r="A145" s="0"/>
      <c r="B145" s="0"/>
    </row>
    <row customHeight="1" ht="11.25">
      <c r="A146" s="0"/>
      <c r="B146" s="0"/>
    </row>
    <row customHeight="1" ht="11.25">
      <c r="A147" s="0"/>
      <c r="B147" s="0"/>
    </row>
    <row customHeight="1" ht="11.25">
      <c r="A148" s="0"/>
      <c r="B148" s="0"/>
    </row>
    <row customHeight="1" ht="11.25">
      <c r="A149" s="0"/>
      <c r="B149" s="0"/>
    </row>
    <row customHeight="1" ht="11.25">
      <c r="A150" s="0"/>
      <c r="B150" s="0"/>
    </row>
    <row customHeight="1" ht="11.25">
      <c r="A151" s="0"/>
      <c r="B151" s="0"/>
    </row>
    <row customHeight="1" ht="11.25">
      <c r="A152" s="0"/>
      <c r="B152" s="0"/>
    </row>
    <row customHeight="1" ht="11.25">
      <c r="A153" s="0"/>
      <c r="B153" s="0"/>
    </row>
    <row customHeight="1" ht="11.25">
      <c r="A154" s="0"/>
      <c r="B154" s="0"/>
    </row>
    <row customHeight="1" ht="11.25">
      <c r="A155" s="0"/>
      <c r="B155" s="0"/>
    </row>
    <row customHeight="1" ht="11.25">
      <c r="A156" s="0"/>
      <c r="B156" s="0"/>
    </row>
    <row customHeight="1" ht="11.25">
      <c r="A157" s="0"/>
      <c r="B157" s="0"/>
    </row>
    <row customHeight="1" ht="11.25">
      <c r="A158" s="0"/>
      <c r="B158" s="0"/>
    </row>
    <row customHeight="1" ht="11.25">
      <c r="A159" s="0"/>
      <c r="B159" s="0"/>
    </row>
    <row customHeight="1" ht="11.25">
      <c r="A160" s="0"/>
      <c r="B160" s="0"/>
    </row>
    <row customHeight="1" ht="11.25">
      <c r="A161" s="0"/>
      <c r="B161" s="0"/>
    </row>
    <row customHeight="1" ht="11.25">
      <c r="A162" s="0"/>
      <c r="B162" s="0"/>
    </row>
    <row customHeight="1" ht="11.25">
      <c r="A163" s="0"/>
      <c r="B163" s="0"/>
    </row>
    <row customHeight="1" ht="11.25">
      <c r="A164" s="0"/>
      <c r="B164" s="0"/>
    </row>
    <row customHeight="1" ht="11.25">
      <c r="A165" s="0"/>
      <c r="B165" s="0"/>
    </row>
    <row customHeight="1" ht="11.25">
      <c r="A166" s="0"/>
      <c r="B166" s="0"/>
    </row>
    <row customHeight="1" ht="11.25">
      <c r="A167" s="0"/>
      <c r="B167" s="0"/>
    </row>
    <row customHeight="1" ht="11.25">
      <c r="A168" s="0"/>
      <c r="B168" s="0"/>
    </row>
    <row customHeight="1" ht="11.25">
      <c r="A169" s="0"/>
      <c r="B169" s="0"/>
    </row>
    <row customHeight="1" ht="11.25">
      <c r="A170" s="0"/>
      <c r="B170" s="0"/>
    </row>
    <row customHeight="1" ht="11.25">
      <c r="A171" s="0"/>
      <c r="B171" s="0"/>
    </row>
    <row customHeight="1" ht="11.25">
      <c r="A172" s="0"/>
      <c r="B172" s="0"/>
    </row>
    <row customHeight="1" ht="11.25">
      <c r="A173" s="0"/>
      <c r="B173" s="0"/>
    </row>
    <row customHeight="1" ht="11.25">
      <c r="A174" s="0"/>
      <c r="B174" s="0"/>
    </row>
    <row customHeight="1" ht="11.25">
      <c r="A175" s="0"/>
      <c r="B175" s="0"/>
    </row>
    <row customHeight="1" ht="11.25">
      <c r="A176" s="0"/>
      <c r="B176" s="0"/>
    </row>
    <row customHeight="1" ht="11.25">
      <c r="A177" s="0"/>
      <c r="B177" s="0"/>
    </row>
    <row customHeight="1" ht="11.25">
      <c r="A178" s="0"/>
      <c r="B178" s="0"/>
    </row>
    <row customHeight="1" ht="11.25">
      <c r="A179" s="0"/>
      <c r="B179" s="0"/>
    </row>
    <row customHeight="1" ht="11.25">
      <c r="A180" s="0"/>
      <c r="B180" s="0"/>
    </row>
    <row customHeight="1" ht="11.25">
      <c r="A181" s="0"/>
      <c r="B181" s="0"/>
    </row>
    <row customHeight="1" ht="11.25">
      <c r="A182" s="0"/>
      <c r="B182" s="0"/>
    </row>
    <row customHeight="1" ht="11.25">
      <c r="A183" s="0"/>
      <c r="B183" s="0"/>
    </row>
    <row customHeight="1" ht="11.25">
      <c r="A184" s="0"/>
      <c r="B184" s="0"/>
    </row>
    <row customHeight="1" ht="11.25">
      <c r="A185" s="0"/>
      <c r="B185" s="0"/>
    </row>
    <row customHeight="1" ht="11.25">
      <c r="A186" s="0"/>
      <c r="B186" s="0"/>
    </row>
    <row customHeight="1" ht="11.25">
      <c r="A187" s="0"/>
      <c r="B187" s="0"/>
    </row>
    <row customHeight="1" ht="11.25">
      <c r="A188" s="0"/>
      <c r="B188" s="0"/>
    </row>
    <row customHeight="1" ht="11.25">
      <c r="A189" s="0"/>
      <c r="B189" s="0"/>
    </row>
    <row customHeight="1" ht="11.25">
      <c r="A190" s="0"/>
      <c r="B190" s="0"/>
    </row>
    <row customHeight="1" ht="11.25">
      <c r="A191" s="0"/>
      <c r="B191" s="0"/>
    </row>
    <row customHeight="1" ht="11.25">
      <c r="A192" s="0"/>
      <c r="B192" s="0"/>
    </row>
    <row customHeight="1" ht="11.25">
      <c r="A193" s="0"/>
      <c r="B193" s="0"/>
    </row>
    <row customHeight="1" ht="11.25">
      <c r="A194" s="0"/>
      <c r="B194" s="0"/>
    </row>
    <row customHeight="1" ht="11.25">
      <c r="A195" s="0"/>
      <c r="B195" s="0"/>
    </row>
    <row customHeight="1" ht="11.25">
      <c r="A196" s="0"/>
      <c r="B196" s="0"/>
    </row>
    <row customHeight="1" ht="11.25">
      <c r="A197" s="0"/>
      <c r="B197" s="0"/>
    </row>
    <row customHeight="1" ht="11.25">
      <c r="A198" s="0"/>
      <c r="B198" s="0"/>
    </row>
    <row customHeight="1" ht="11.25">
      <c r="A199" s="0"/>
      <c r="B199" s="0"/>
    </row>
    <row customHeight="1" ht="11.25">
      <c r="A200" s="0"/>
      <c r="B200" s="0"/>
    </row>
    <row customHeight="1" ht="11.25">
      <c r="A201" s="0"/>
      <c r="B201" s="0"/>
    </row>
    <row customHeight="1" ht="11.25">
      <c r="A202" s="0"/>
      <c r="B202" s="0"/>
    </row>
    <row customHeight="1" ht="11.25">
      <c r="A203" s="0"/>
      <c r="B203" s="0"/>
    </row>
    <row customHeight="1" ht="11.25">
      <c r="A204" s="0"/>
      <c r="B204" s="0"/>
    </row>
    <row customHeight="1" ht="11.25">
      <c r="A205" s="0"/>
      <c r="B205" s="0"/>
    </row>
    <row customHeight="1" ht="11.25">
      <c r="A206" s="0"/>
      <c r="B206" s="0"/>
    </row>
    <row customHeight="1" ht="11.25">
      <c r="A207" s="0"/>
      <c r="B207" s="0"/>
    </row>
    <row customHeight="1" ht="11.25">
      <c r="A208" s="0"/>
      <c r="B208" s="0"/>
    </row>
    <row customHeight="1" ht="11.25">
      <c r="A209" s="0"/>
      <c r="B209" s="0"/>
    </row>
    <row customHeight="1" ht="11.25">
      <c r="A210" s="0"/>
      <c r="B210" s="0"/>
    </row>
    <row customHeight="1" ht="11.25">
      <c r="A211" s="0"/>
      <c r="B211" s="0"/>
    </row>
    <row customHeight="1" ht="11.25">
      <c r="A212" s="0"/>
      <c r="B212" s="0"/>
    </row>
    <row customHeight="1" ht="11.25">
      <c r="A213" s="0"/>
      <c r="B213" s="0"/>
    </row>
    <row customHeight="1" ht="11.25">
      <c r="A214" s="0"/>
      <c r="B214" s="0"/>
    </row>
    <row customHeight="1" ht="11.25">
      <c r="A215" s="0"/>
      <c r="B215" s="0"/>
    </row>
    <row customHeight="1" ht="11.25">
      <c r="A216" s="0"/>
      <c r="B216" s="0"/>
    </row>
    <row customHeight="1" ht="11.25">
      <c r="A217" s="0"/>
      <c r="B217" s="0"/>
    </row>
    <row customHeight="1" ht="11.25">
      <c r="A218" s="0"/>
      <c r="B218" s="0"/>
    </row>
    <row customHeight="1" ht="11.25">
      <c r="A219" s="0"/>
      <c r="B219" s="0"/>
    </row>
    <row customHeight="1" ht="11.25">
      <c r="A220" s="0"/>
      <c r="B220" s="0"/>
    </row>
    <row customHeight="1" ht="11.25">
      <c r="A221" s="0"/>
      <c r="B221" s="0"/>
    </row>
    <row customHeight="1" ht="11.25">
      <c r="A222" s="0"/>
      <c r="B222" s="0"/>
    </row>
    <row customHeight="1" ht="11.25">
      <c r="A223" s="0"/>
      <c r="B223" s="0"/>
    </row>
    <row customHeight="1" ht="11.25">
      <c r="A224" s="0"/>
      <c r="B224" s="0"/>
    </row>
    <row customHeight="1" ht="11.25">
      <c r="A225" s="0"/>
      <c r="B225" s="0"/>
    </row>
    <row customHeight="1" ht="11.25">
      <c r="A226" s="0"/>
      <c r="B226" s="0"/>
    </row>
    <row customHeight="1" ht="11.25">
      <c r="A227" s="0"/>
      <c r="B227" s="0"/>
    </row>
    <row customHeight="1" ht="11.25">
      <c r="A228" s="0"/>
      <c r="B228" s="0"/>
    </row>
    <row customHeight="1" ht="11.25">
      <c r="A229" s="0"/>
      <c r="B229" s="0"/>
    </row>
    <row customHeight="1" ht="11.25">
      <c r="A230" s="0"/>
      <c r="B230" s="0"/>
    </row>
    <row customHeight="1" ht="11.25">
      <c r="A231" s="0"/>
      <c r="B231" s="0"/>
    </row>
    <row customHeight="1" ht="11.25">
      <c r="A232" s="0"/>
      <c r="B232" s="0"/>
    </row>
    <row customHeight="1" ht="11.25">
      <c r="A233" s="0"/>
      <c r="B233" s="0"/>
    </row>
    <row customHeight="1" ht="11.25">
      <c r="A234" s="0"/>
      <c r="B234" s="0"/>
    </row>
    <row customHeight="1" ht="11.25">
      <c r="A235" s="0"/>
      <c r="B235" s="0"/>
    </row>
    <row customHeight="1" ht="11.25">
      <c r="A236" s="0"/>
      <c r="B236" s="0"/>
    </row>
    <row customHeight="1" ht="11.25">
      <c r="A237" s="0"/>
      <c r="B237" s="0"/>
    </row>
    <row customHeight="1" ht="11.25">
      <c r="A238" s="0"/>
      <c r="B238" s="0"/>
    </row>
    <row customHeight="1" ht="11.25">
      <c r="A239" s="0"/>
      <c r="B239" s="0"/>
    </row>
    <row customHeight="1" ht="11.25">
      <c r="A240" s="0"/>
      <c r="B240" s="0"/>
    </row>
    <row customHeight="1" ht="11.25">
      <c r="A241" s="0"/>
      <c r="B241" s="0"/>
    </row>
    <row customHeight="1" ht="11.25">
      <c r="A242" s="0"/>
      <c r="B242" s="0"/>
    </row>
    <row customHeight="1" ht="11.25">
      <c r="A243" s="0"/>
      <c r="B243" s="0"/>
    </row>
    <row customHeight="1" ht="11.25">
      <c r="A244" s="0"/>
      <c r="B244" s="0"/>
    </row>
    <row customHeight="1" ht="11.25">
      <c r="A245" s="0"/>
      <c r="B245" s="0"/>
    </row>
    <row customHeight="1" ht="11.25">
      <c r="A246" s="0"/>
      <c r="B246" s="0"/>
    </row>
    <row customHeight="1" ht="11.25">
      <c r="A247" s="0"/>
      <c r="B247" s="0"/>
    </row>
    <row customHeight="1" ht="11.25">
      <c r="A248" s="0"/>
      <c r="B248" s="0"/>
    </row>
    <row customHeight="1" ht="11.25">
      <c r="A249" s="0"/>
      <c r="B249" s="0"/>
    </row>
    <row customHeight="1" ht="11.25">
      <c r="A250" s="0"/>
      <c r="B250" s="0"/>
    </row>
    <row customHeight="1" ht="11.25">
      <c r="A251" s="0"/>
      <c r="B251" s="0"/>
    </row>
    <row customHeight="1" ht="11.25">
      <c r="A252" s="0"/>
      <c r="B252" s="0"/>
    </row>
    <row customHeight="1" ht="11.25">
      <c r="A253" s="0"/>
      <c r="B253" s="0"/>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51732B-AC77-756C-9E2A-F58998E4EC77}"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437" width="3.7109375" customWidth="1"/>
    <col min="2" max="2" style="2437" width="90.7109375" customWidth="1"/>
    <col min="3" max="4" style="2437" width="9.140625"/>
  </cols>
  <sheetData>
    <row customHeight="1" ht="11.25">
      <c r="B1" s="72" t="s">
        <v>3341</v>
      </c>
    </row>
    <row customHeight="1" ht="90">
      <c r="B2" s="73" t="s">
        <v>3342</v>
      </c>
    </row>
    <row customHeight="1" ht="67.5">
      <c r="B3" s="73" t="s">
        <v>3343</v>
      </c>
    </row>
    <row customHeight="1" ht="33.75">
      <c r="B4" s="73" t="s">
        <v>3344</v>
      </c>
    </row>
    <row customHeight="1" ht="11.25">
      <c r="B5" s="73" t="s">
        <v>3345</v>
      </c>
    </row>
    <row customHeight="1" ht="22.5">
      <c r="B6" s="73" t="s">
        <v>3346</v>
      </c>
    </row>
    <row customHeight="1" ht="22.5">
      <c r="B7" s="73" t="s">
        <v>3347</v>
      </c>
    </row>
    <row customHeight="1" ht="22.5">
      <c r="B8" s="73" t="s">
        <v>3348</v>
      </c>
    </row>
    <row customHeight="1" ht="22.5">
      <c r="B9" s="73" t="s">
        <v>3349</v>
      </c>
    </row>
    <row customHeight="1" ht="56.25">
      <c r="B10" s="73" t="s">
        <v>3350</v>
      </c>
    </row>
    <row customHeight="1" ht="12.75">
      <c r="B11" s="139" t="s">
        <v>3351</v>
      </c>
    </row>
    <row customHeight="1" ht="11.25">
      <c r="B12" s="72" t="s">
        <v>3352</v>
      </c>
    </row>
    <row customHeight="1" ht="22.5">
      <c r="B13" s="73" t="s">
        <v>3353</v>
      </c>
    </row>
    <row customHeight="1" ht="67.5">
      <c r="B14" s="73" t="s">
        <v>3354</v>
      </c>
    </row>
    <row customHeight="1" ht="22.5">
      <c r="B15" s="73" t="s">
        <v>3355</v>
      </c>
    </row>
    <row customHeight="1" ht="11.25">
      <c r="B16" s="72" t="s">
        <v>3356</v>
      </c>
      <c r="D16" s="80"/>
    </row>
    <row customHeight="1" ht="33.75">
      <c r="B17" s="73" t="s">
        <v>3357</v>
      </c>
    </row>
    <row customHeight="1" ht="33.75">
      <c r="B18" s="73" t="s">
        <v>3358</v>
      </c>
    </row>
    <row customHeight="1" ht="11.25">
      <c r="B19" s="73" t="s">
        <v>3359</v>
      </c>
    </row>
    <row customHeight="1" ht="33.75">
      <c r="B20" s="73" t="s">
        <v>3360</v>
      </c>
    </row>
    <row customHeight="1" ht="11.25">
      <c r="B21" s="72" t="s">
        <v>3361</v>
      </c>
    </row>
    <row customHeight="1" ht="11.25">
      <c r="B22" s="73" t="s">
        <v>3362</v>
      </c>
    </row>
    <row r="24" customHeight="1" ht="22.5">
      <c r="B24" s="141" t="s">
        <v>3363</v>
      </c>
    </row>
    <row r="26" customHeight="1" ht="11.25">
      <c r="B26" s="72" t="s">
        <v>3364</v>
      </c>
    </row>
    <row customHeight="1" ht="22.5">
      <c r="B27" s="140" t="s">
        <v>403</v>
      </c>
    </row>
    <row customHeight="1" ht="56.25">
      <c r="B28" s="140" t="s">
        <v>3365</v>
      </c>
    </row>
    <row customHeight="1" ht="11.25">
      <c r="B29" s="189" t="s">
        <v>3366</v>
      </c>
    </row>
    <row customHeight="1" ht="22.5">
      <c r="B30" s="140" t="s">
        <v>3367</v>
      </c>
    </row>
    <row r="32" customHeight="1" ht="11.25">
      <c r="A32" s="0"/>
      <c r="B32" s="168" t="s">
        <v>3368</v>
      </c>
    </row>
    <row customHeight="1" ht="14.25">
      <c r="A33" s="169">
        <v>1</v>
      </c>
      <c r="B33" s="170" t="s">
        <v>3369</v>
      </c>
    </row>
    <row customHeight="1" ht="14.25">
      <c r="A34" s="169">
        <v>2</v>
      </c>
      <c r="B34" s="170" t="s">
        <v>3370</v>
      </c>
    </row>
    <row customHeight="1" ht="11.25">
      <c r="B35" s="168" t="s">
        <v>3371</v>
      </c>
    </row>
    <row customHeight="1" ht="11.25">
      <c r="B36" s="170" t="s">
        <v>3372</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2023-10-08T20:57:54Z</dcterms:modified>
</cp:coreProperties>
</file>

<file path=docProps/custom.xml><?xml version="1.0" encoding="utf-8"?>
<Properties xmlns="http://schemas.openxmlformats.org/officeDocument/2006/custom-properties" xmlns:vt="http://schemas.openxmlformats.org/officeDocument/2006/docPropsVTypes"/>
</file>